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5" yWindow="-105" windowWidth="20730" windowHeight="11760" tabRatio="880" firstSheet="32" activeTab="40"/>
  </bookViews>
  <sheets>
    <sheet name="PL tong hop" sheetId="65" state="hidden" r:id="rId1"/>
    <sheet name="01" sheetId="1" state="hidden" r:id="rId2"/>
    <sheet name="02" sheetId="2" state="hidden" r:id="rId3"/>
    <sheet name="03" sheetId="3" state="hidden" r:id="rId4"/>
    <sheet name="04" sheetId="4" state="hidden" r:id="rId5"/>
    <sheet name="05" sheetId="8" state="hidden" r:id="rId6"/>
    <sheet name="06" sheetId="5" state="hidden" r:id="rId7"/>
    <sheet name="07" sheetId="6" state="hidden" r:id="rId8"/>
    <sheet name="08" sheetId="7" state="hidden" r:id="rId9"/>
    <sheet name="09" sheetId="9" state="hidden" r:id="rId10"/>
    <sheet name="10" sheetId="13" state="hidden" r:id="rId11"/>
    <sheet name="11" sheetId="10" state="hidden" r:id="rId12"/>
    <sheet name="12" sheetId="11" state="hidden" r:id="rId13"/>
    <sheet name="13" sheetId="12" state="hidden" r:id="rId14"/>
    <sheet name="14" sheetId="14" state="hidden" r:id="rId15"/>
    <sheet name="15" sheetId="15" state="hidden" r:id="rId16"/>
    <sheet name="16" sheetId="16" state="hidden" r:id="rId17"/>
    <sheet name="17" sheetId="17" state="hidden" r:id="rId18"/>
    <sheet name="18 (Khong)" sheetId="18" state="hidden" r:id="rId19"/>
    <sheet name="ĐGCĐ THU, CHI MAU 19" sheetId="19" state="hidden" r:id="rId20"/>
    <sheet name="DANH GIA TH THU NSNN 20" sheetId="20" state="hidden" r:id="rId21"/>
    <sheet name="D. GIA TH THU NSNN THEO L.V 21" sheetId="21" state="hidden" r:id="rId22"/>
    <sheet name="22" sheetId="22" state="hidden" r:id="rId23"/>
    <sheet name="23" sheetId="23" state="hidden" r:id="rId24"/>
    <sheet name="24" sheetId="24" state="hidden" r:id="rId25"/>
    <sheet name="25" sheetId="25" state="hidden" r:id="rId26"/>
    <sheet name="26" sheetId="26" state="hidden" r:id="rId27"/>
    <sheet name="27" sheetId="27" state="hidden" r:id="rId28"/>
    <sheet name="28" sheetId="28" state="hidden" r:id="rId29"/>
    <sheet name="29" sheetId="29" state="hidden" r:id="rId30"/>
    <sheet name="CĐDT THU, CHI MAU 30" sheetId="30" state="hidden" r:id="rId31"/>
    <sheet name="31" sheetId="31" state="hidden" r:id="rId32"/>
    <sheet name="DT THU NSNN MAU 32" sheetId="32" r:id="rId33"/>
    <sheet name="DT CHI NS HUYEN, XA 33" sheetId="33" state="hidden" r:id="rId34"/>
    <sheet name="TONG HOP SO 30" sheetId="68" r:id="rId35"/>
    <sheet name="34 (Khong)" sheetId="34" state="hidden" r:id="rId36"/>
    <sheet name="CHI NS HUYEN 35" sheetId="35" r:id="rId37"/>
    <sheet name="36 (KHONG)" sheetId="36" state="hidden" r:id="rId38"/>
    <sheet name="DT CHI TX NSH TUNG CQ 37" sheetId="37" state="hidden" r:id="rId39"/>
    <sheet name="DT CTMTQG 38" sheetId="38" state="hidden" r:id="rId40"/>
    <sheet name="SNGD" sheetId="70" r:id="rId41"/>
    <sheet name="DT THU, CHI NSDP VA BSCĐ 39" sheetId="39" r:id="rId42"/>
    <sheet name="40 n(Khong)" sheetId="40" state="hidden" r:id="rId43"/>
    <sheet name="DT CHI NS XA 41" sheetId="41" r:id="rId44"/>
    <sheet name="42(KHONG)" sheetId="42" state="hidden" r:id="rId45"/>
    <sheet name="43 (KHONG)" sheetId="43" state="hidden" r:id="rId46"/>
    <sheet name="44 (KHONG)" sheetId="44" state="hidden" r:id="rId47"/>
    <sheet name="45 (KHÔNG)" sheetId="45" state="hidden" r:id="rId48"/>
    <sheet name="DTXDCB NSDP" sheetId="46" state="hidden" r:id="rId49"/>
    <sheet name="XBCD NSTW" sheetId="71" state="hidden" r:id="rId50"/>
    <sheet name="XDCB NTM" sheetId="72" state="hidden" r:id="rId51"/>
    <sheet name="47 (KHONG)" sheetId="47" state="hidden" r:id="rId52"/>
    <sheet name="DIEU CHINH DAU TU CONG 16-20" sheetId="69" state="hidden" r:id="rId53"/>
    <sheet name="48" sheetId="48" state="hidden" r:id="rId54"/>
    <sheet name="49" sheetId="49" state="hidden" r:id="rId55"/>
    <sheet name="50" sheetId="50" state="hidden" r:id="rId56"/>
    <sheet name="51" sheetId="51" state="hidden" r:id="rId57"/>
    <sheet name="52" sheetId="52" state="hidden" r:id="rId58"/>
    <sheet name="53" sheetId="53" state="hidden" r:id="rId59"/>
    <sheet name="54" sheetId="54" state="hidden" r:id="rId60"/>
    <sheet name="55" sheetId="55" state="hidden" r:id="rId61"/>
    <sheet name="56" sheetId="56" state="hidden" r:id="rId62"/>
    <sheet name="57" sheetId="57" state="hidden" r:id="rId63"/>
    <sheet name="58" sheetId="58" state="hidden" r:id="rId64"/>
    <sheet name="59" sheetId="59" state="hidden" r:id="rId65"/>
    <sheet name="60" sheetId="60" state="hidden" r:id="rId66"/>
    <sheet name="61" sheetId="61" state="hidden" r:id="rId67"/>
    <sheet name="62" sheetId="62" state="hidden" r:id="rId68"/>
    <sheet name="63" sheetId="63" state="hidden" r:id="rId69"/>
    <sheet name="64" sheetId="64" state="hidden" r:id="rId70"/>
  </sheets>
  <externalReferences>
    <externalReference r:id="rId71"/>
    <externalReference r:id="rId72"/>
    <externalReference r:id="rId73"/>
  </externalReferences>
  <definedNames>
    <definedName name="chuong_phuluc_1_name" localSheetId="0">'PL tong hop'!$A$2</definedName>
    <definedName name="chuong_phuluc_10" localSheetId="10">'10'!$A$1</definedName>
    <definedName name="chuong_phuluc_10_name" localSheetId="10">'10'!$A$2</definedName>
    <definedName name="chuong_phuluc_11" localSheetId="11">'11'!$A$1</definedName>
    <definedName name="chuong_phuluc_11_name" localSheetId="11">'11'!$A$2</definedName>
    <definedName name="chuong_phuluc_12" localSheetId="12">'12'!$A$1</definedName>
    <definedName name="chuong_phuluc_12_name" localSheetId="12">'12'!$A$2</definedName>
    <definedName name="chuong_phuluc_13" localSheetId="13">'13'!$A$1</definedName>
    <definedName name="chuong_phuluc_13_name" localSheetId="13">'13'!$A$2</definedName>
    <definedName name="chuong_phuluc_14" localSheetId="14">'14'!$A$1</definedName>
    <definedName name="chuong_phuluc_14_name" localSheetId="14">'14'!$A$2</definedName>
    <definedName name="chuong_phuluc_15" localSheetId="15">'15'!$A$1</definedName>
    <definedName name="chuong_phuluc_15_name" localSheetId="15">'15'!$A$2</definedName>
    <definedName name="chuong_phuluc_16" localSheetId="16">'16'!$A$1</definedName>
    <definedName name="chuong_phuluc_16_name" localSheetId="16">'16'!$A$2</definedName>
    <definedName name="chuong_phuluc_17" localSheetId="17">'17'!$A$1</definedName>
    <definedName name="chuong_phuluc_17_name" localSheetId="17">'17'!$A$2</definedName>
    <definedName name="chuong_phuluc_18" localSheetId="18">'18 (Khong)'!$A$1</definedName>
    <definedName name="chuong_phuluc_18_name" localSheetId="18">'18 (Khong)'!$A$2</definedName>
    <definedName name="chuong_phuluc_19" localSheetId="19">'ĐGCĐ THU, CHI MAU 19'!$A$1</definedName>
    <definedName name="chuong_phuluc_19_name" localSheetId="19">'ĐGCĐ THU, CHI MAU 19'!$A$2</definedName>
    <definedName name="chuong_phuluc_2" localSheetId="1">'01'!$A$1</definedName>
    <definedName name="chuong_phuluc_2_1" localSheetId="2">'02'!$A$1</definedName>
    <definedName name="chuong_phuluc_2_1_name" localSheetId="2">'02'!$A$2</definedName>
    <definedName name="chuong_phuluc_2_name" localSheetId="1">'01'!$A$2</definedName>
    <definedName name="chuong_phuluc_20" localSheetId="20">'DANH GIA TH THU NSNN 20'!$A$1</definedName>
    <definedName name="chuong_phuluc_20_name" localSheetId="20">'DANH GIA TH THU NSNN 20'!$A$2</definedName>
    <definedName name="chuong_phuluc_21" localSheetId="21">'D. GIA TH THU NSNN THEO L.V 21'!$J$1</definedName>
    <definedName name="chuong_phuluc_21_name" localSheetId="21">'D. GIA TH THU NSNN THEO L.V 21'!$A$2</definedName>
    <definedName name="chuong_phuluc_22" localSheetId="22">'22'!$J$1</definedName>
    <definedName name="chuong_phuluc_22_name" localSheetId="22">'22'!$A$2</definedName>
    <definedName name="chuong_phuluc_23" localSheetId="23">'23'!$F$1</definedName>
    <definedName name="chuong_phuluc_23_name" localSheetId="23">'23'!$A$2</definedName>
    <definedName name="chuong_phuluc_24" localSheetId="24">'24'!$K$1</definedName>
    <definedName name="chuong_phuluc_24_name" localSheetId="24">'24'!$A$2</definedName>
    <definedName name="chuong_phuluc_25" localSheetId="25">'25'!$R$1</definedName>
    <definedName name="chuong_phuluc_25_name" localSheetId="25">'25'!$A$2</definedName>
    <definedName name="chuong_phuluc_26" localSheetId="26">'26'!$R$1</definedName>
    <definedName name="chuong_phuluc_26_name" localSheetId="26">'26'!$A$2</definedName>
    <definedName name="chuong_phuluc_27" localSheetId="27">'27'!$AF$1</definedName>
    <definedName name="chuong_phuluc_27_name" localSheetId="27">'27'!$A$2</definedName>
    <definedName name="chuong_phuluc_28" localSheetId="28">'28'!$L$1</definedName>
    <definedName name="chuong_phuluc_28_name" localSheetId="28">'28'!$A$2</definedName>
    <definedName name="chuong_phuluc_29" localSheetId="29">'29'!$E$1</definedName>
    <definedName name="chuong_phuluc_29_name" localSheetId="29">'29'!$A$2</definedName>
    <definedName name="chuong_phuluc_3" localSheetId="3">'03'!$A$1</definedName>
    <definedName name="chuong_phuluc_3_name" localSheetId="3">'03'!$A$2</definedName>
    <definedName name="chuong_phuluc_30" localSheetId="30">'CĐDT THU, CHI MAU 30'!$G$1</definedName>
    <definedName name="chuong_phuluc_30_name" localSheetId="30">'CĐDT THU, CHI MAU 30'!$A$2</definedName>
    <definedName name="chuong_phuluc_31" localSheetId="31">'31'!$N$1</definedName>
    <definedName name="chuong_phuluc_31_name" localSheetId="31">'31'!$A$2</definedName>
    <definedName name="chuong_phuluc_32" localSheetId="32">'DT THU NSNN MAU 32'!$L$1</definedName>
    <definedName name="chuong_phuluc_32_name" localSheetId="32">'DT THU NSNN MAU 32'!$A$2</definedName>
    <definedName name="chuong_phuluc_33" localSheetId="33">'DT CHI NS HUYEN, XA 33'!$D$1</definedName>
    <definedName name="chuong_phuluc_33_name" localSheetId="33">'DT CHI NS HUYEN, XA 33'!$A$2</definedName>
    <definedName name="chuong_phuluc_34_name" localSheetId="35">'34 (Khong)'!$A$2</definedName>
    <definedName name="chuong_phuluc_35" localSheetId="36">'CHI NS HUYEN 35'!$N$1</definedName>
    <definedName name="chuong_phuluc_35_name" localSheetId="36">'CHI NS HUYEN 35'!$A$2</definedName>
    <definedName name="chuong_phuluc_36" localSheetId="37">'36 (KHONG)'!$R$1</definedName>
    <definedName name="chuong_phuluc_36_name" localSheetId="37">'36 (KHONG)'!$A$2</definedName>
    <definedName name="chuong_phuluc_37" localSheetId="38">'DT CHI TX NSH TUNG CQ 37'!$R$1</definedName>
    <definedName name="chuong_phuluc_37_name" localSheetId="38">'DT CHI TX NSH TUNG CQ 37'!$A$2</definedName>
    <definedName name="chuong_phuluc_38" localSheetId="39">'DT CTMTQG 38'!$S$1</definedName>
    <definedName name="chuong_phuluc_38_name" localSheetId="39">'DT CTMTQG 38'!$A$2</definedName>
    <definedName name="chuong_phuluc_39" localSheetId="41">'DT THU, CHI NSDP VA BSCĐ 39'!$P$1</definedName>
    <definedName name="chuong_phuluc_39_name" localSheetId="41">'DT THU, CHI NSDP VA BSCĐ 39'!$A$2</definedName>
    <definedName name="chuong_phuluc_4" localSheetId="4">'04'!$A$1</definedName>
    <definedName name="chuong_phuluc_4_name" localSheetId="4">'04'!$A$2</definedName>
    <definedName name="chuong_phuluc_40" localSheetId="42">'40 n(Khong)'!$F$1</definedName>
    <definedName name="chuong_phuluc_40_name" localSheetId="42">'40 n(Khong)'!$A$2</definedName>
    <definedName name="chuong_phuluc_41" localSheetId="43">'DT CHI NS XA 41'!#REF!</definedName>
    <definedName name="chuong_phuluc_41_name" localSheetId="43">'DT CHI NS XA 41'!#REF!</definedName>
    <definedName name="chuong_phuluc_42" localSheetId="44">'42(KHONG)'!$F$1</definedName>
    <definedName name="chuong_phuluc_42_name" localSheetId="44">'42(KHONG)'!$A$2</definedName>
    <definedName name="chuong_phuluc_43" localSheetId="45">'43 (KHONG)'!$L$1</definedName>
    <definedName name="chuong_phuluc_43_name" localSheetId="45">'43 (KHONG)'!$A$2</definedName>
    <definedName name="chuong_phuluc_44" localSheetId="46">'44 (KHONG)'!$L$1</definedName>
    <definedName name="chuong_phuluc_44_name" localSheetId="46">'44 (KHONG)'!$A$2</definedName>
    <definedName name="chuong_phuluc_44_name_name" localSheetId="46">'44 (KHONG)'!$A$3</definedName>
    <definedName name="chuong_phuluc_45" localSheetId="47">'45 (KHÔNG)'!$M$1</definedName>
    <definedName name="chuong_phuluc_45_name" localSheetId="47">'45 (KHÔNG)'!$A$2</definedName>
    <definedName name="chuong_phuluc_46" localSheetId="48">'DTXDCB NSDP'!$V$1</definedName>
    <definedName name="chuong_phuluc_46_name" localSheetId="48">'DTXDCB NSDP'!$A$2</definedName>
    <definedName name="chuong_phuluc_47" localSheetId="51">'47 (KHONG)'!$E$1</definedName>
    <definedName name="chuong_phuluc_47_name" localSheetId="51">'47 (KHONG)'!$A$2</definedName>
    <definedName name="chuong_phuluc_47_name_name" localSheetId="51">'47 (KHONG)'!$A$3</definedName>
    <definedName name="chuong_phuluc_48" localSheetId="53">'48'!$F$1</definedName>
    <definedName name="chuong_phuluc_48_name" localSheetId="53">'48'!$A$2</definedName>
    <definedName name="chuong_phuluc_49" localSheetId="54">'49'!$E$1</definedName>
    <definedName name="chuong_phuluc_49_name" localSheetId="54">'49'!$A$2</definedName>
    <definedName name="chuong_phuluc_5" localSheetId="5">'05'!$A$1</definedName>
    <definedName name="chuong_phuluc_5_name" localSheetId="5">'05'!$A$2</definedName>
    <definedName name="chuong_phuluc_50" localSheetId="55">'50'!$H$1</definedName>
    <definedName name="chuong_phuluc_50_name" localSheetId="55">'50'!$A$2</definedName>
    <definedName name="chuong_phuluc_51" localSheetId="56">'51'!$E$1</definedName>
    <definedName name="chuong_phuluc_51_name" localSheetId="56">'51'!$A$2</definedName>
    <definedName name="chuong_phuluc_52" localSheetId="57">'52'!$F$1</definedName>
    <definedName name="chuong_phuluc_52_name" localSheetId="57">'52'!$A$2</definedName>
    <definedName name="chuong_phuluc_53" localSheetId="58">'53'!$K$1</definedName>
    <definedName name="chuong_phuluc_53_name" localSheetId="58">'53'!$A$2</definedName>
    <definedName name="chuong_phuluc_54" localSheetId="59">'54'!$Q$1</definedName>
    <definedName name="chuong_phuluc_54_name" localSheetId="59">'54'!$A$2</definedName>
    <definedName name="chuong_phuluc_55" localSheetId="60">'55'!$T$1</definedName>
    <definedName name="chuong_phuluc_55_name" localSheetId="60">'55'!$A$2</definedName>
    <definedName name="chuong_phuluc_56" localSheetId="61">'56'!$T$1</definedName>
    <definedName name="chuong_phuluc_56_name" localSheetId="61">'56'!$A$2</definedName>
    <definedName name="chuong_phuluc_57" localSheetId="62">'57'!$J$1</definedName>
    <definedName name="chuong_phuluc_57_name" localSheetId="62">'57'!$A$2</definedName>
    <definedName name="chuong_phuluc_58" localSheetId="63">'58'!$S$1</definedName>
    <definedName name="chuong_phuluc_58_name" localSheetId="63">'58'!$A$2</definedName>
    <definedName name="chuong_phuluc_59_name" localSheetId="64">'59'!$A$2</definedName>
    <definedName name="chuong_phuluc_6" localSheetId="6">'06'!$A$1</definedName>
    <definedName name="chuong_phuluc_6_name" localSheetId="6">'06'!$A$2</definedName>
    <definedName name="chuong_phuluc_60" localSheetId="65">'60'!$H$1</definedName>
    <definedName name="chuong_phuluc_60_name" localSheetId="65">'60'!$A$2</definedName>
    <definedName name="chuong_phuluc_61" localSheetId="66">'61'!$U$1</definedName>
    <definedName name="chuong_phuluc_61_name" localSheetId="66">'61'!$A$2</definedName>
    <definedName name="chuong_phuluc_62_name" localSheetId="67">'62'!$A$2</definedName>
    <definedName name="chuong_phuluc_63" localSheetId="68">'63'!$L$1</definedName>
    <definedName name="chuong_phuluc_63_name" localSheetId="68">'63'!$A$2</definedName>
    <definedName name="chuong_phuluc_64" localSheetId="69">'64'!$E$1</definedName>
    <definedName name="chuong_phuluc_64_name" localSheetId="69">'64'!$A$2</definedName>
    <definedName name="chuong_phuluc_7" localSheetId="7">'07'!$A$1</definedName>
    <definedName name="chuong_phuluc_7_name" localSheetId="7">'07'!$A$2</definedName>
    <definedName name="chuong_phuluc_8" localSheetId="8">'08'!$A$1</definedName>
    <definedName name="chuong_phuluc_8_name" localSheetId="8">'08'!$A$2</definedName>
    <definedName name="chuong_phuluc_9" localSheetId="9">'09'!$A$1</definedName>
    <definedName name="chuong_phuluc_9_name" localSheetId="9">'09'!$A$2</definedName>
    <definedName name="_xlnm.Print_Area" localSheetId="12">'12'!$A$1:$F$39</definedName>
    <definedName name="_xlnm.Print_Area" localSheetId="13">'13'!$A$1:$H$51</definedName>
    <definedName name="_xlnm.Print_Area" localSheetId="14">'14'!$A$1:$F$35</definedName>
    <definedName name="_xlnm.Print_Area" localSheetId="15">'15'!$A$1:$G$39</definedName>
    <definedName name="_xlnm.Print_Area" localSheetId="16">'16'!$A$1:$H$50</definedName>
    <definedName name="_xlnm.Print_Area" localSheetId="36">'CHI NS HUYEN 35'!$A$1:$O$92</definedName>
    <definedName name="_xlnm.Print_Area" localSheetId="21">'D. GIA TH THU NSNN THEO L.V 21'!$A$1:$M$33</definedName>
    <definedName name="_xlnm.Print_Area" localSheetId="20">'DANH GIA TH THU NSNN 20'!$A$1:$N$27</definedName>
    <definedName name="_xlnm.Print_Area" localSheetId="33">'DT CHI NS HUYEN, XA 33'!$A$1:$E$42</definedName>
    <definedName name="_xlnm.Print_Area" localSheetId="43">'DT CHI NS XA 41'!$A$1:$R$47</definedName>
    <definedName name="_xlnm.Print_Area" localSheetId="38">'DT CHI TX NSH TUNG CQ 37'!$A$1:$R$33</definedName>
    <definedName name="_xlnm.Print_Area" localSheetId="39">'DT CTMTQG 38'!$A$1:$S$11</definedName>
    <definedName name="_xlnm.Print_Area" localSheetId="32">'DT THU NSNN MAU 32'!$A$1:$N$30</definedName>
    <definedName name="_xlnm.Print_Area" localSheetId="41">'DT THU, CHI NSDP VA BSCĐ 39'!$A$1:$Q$27</definedName>
    <definedName name="_xlnm.Print_Area" localSheetId="48">'DTXDCB NSDP'!$A$1:$DF$25</definedName>
    <definedName name="_xlnm.Print_Area" localSheetId="34">'TONG HOP SO 30'!$A$1:$C$90</definedName>
    <definedName name="_xlnm.Print_Titles" localSheetId="36">'CHI NS HUYEN 35'!$7:$14</definedName>
    <definedName name="_xlnm.Print_Titles" localSheetId="43">'DT CHI NS XA 41'!$8:$10</definedName>
    <definedName name="_xlnm.Print_Titles" localSheetId="38">'DT CHI TX NSH TUNG CQ 37'!$7:$8</definedName>
    <definedName name="_xlnm.Print_Titles" localSheetId="48">'DTXDCB NSDP'!$5:$15</definedName>
    <definedName name="_xlnm.Print_Titles" localSheetId="40">SNGD!$5:$10</definedName>
    <definedName name="_xlnm.Print_Titles" localSheetId="34">'TONG HOP SO 30'!$7:$9</definedName>
    <definedName name="_xlnm.Print_Titles" localSheetId="50">'XDCB NTM'!$5:$6</definedName>
  </definedNames>
  <calcPr calcId="144525"/>
</workbook>
</file>

<file path=xl/calcChain.xml><?xml version="1.0" encoding="utf-8"?>
<calcChain xmlns="http://schemas.openxmlformats.org/spreadsheetml/2006/main">
  <c r="A5" i="41" l="1"/>
  <c r="A3" i="39"/>
  <c r="A3" i="70"/>
  <c r="A4" i="35"/>
  <c r="A3" i="68"/>
  <c r="C37" i="41"/>
  <c r="N12" i="39"/>
  <c r="O81" i="35"/>
  <c r="K36" i="35"/>
  <c r="L36" i="35"/>
  <c r="N65" i="35"/>
  <c r="N47" i="35"/>
  <c r="M65" i="35"/>
  <c r="O37" i="35"/>
  <c r="O74" i="35"/>
  <c r="D43" i="41"/>
  <c r="M26" i="35"/>
  <c r="O42" i="35"/>
  <c r="Q82" i="70"/>
  <c r="Q81" i="70" s="1"/>
  <c r="C75" i="68"/>
  <c r="G96" i="70"/>
  <c r="C21" i="68"/>
  <c r="O28" i="35"/>
  <c r="G92" i="70"/>
  <c r="Q89" i="70"/>
  <c r="G95" i="70"/>
  <c r="G94" i="70"/>
  <c r="G93" i="70"/>
  <c r="G91" i="70"/>
  <c r="G90" i="70"/>
  <c r="H88" i="70"/>
  <c r="G88" i="70" s="1"/>
  <c r="H87" i="70"/>
  <c r="G87" i="70" s="1"/>
  <c r="H86" i="70"/>
  <c r="H85" i="70"/>
  <c r="G85" i="70" s="1"/>
  <c r="H84" i="70"/>
  <c r="H83" i="70"/>
  <c r="G83" i="70" s="1"/>
  <c r="H82" i="70"/>
  <c r="H81" i="70"/>
  <c r="H80" i="70"/>
  <c r="G80" i="70" s="1"/>
  <c r="G86" i="70"/>
  <c r="G84" i="70"/>
  <c r="C88" i="68"/>
  <c r="O68" i="35"/>
  <c r="O64" i="35" s="1"/>
  <c r="O63" i="35" s="1"/>
  <c r="R43" i="41"/>
  <c r="Q43" i="41"/>
  <c r="P43" i="41"/>
  <c r="O43" i="41"/>
  <c r="N43" i="41"/>
  <c r="M43" i="41"/>
  <c r="L43" i="41"/>
  <c r="K43" i="41"/>
  <c r="J43" i="41"/>
  <c r="I43" i="41"/>
  <c r="H43" i="41"/>
  <c r="G43" i="41"/>
  <c r="F43" i="41"/>
  <c r="E43" i="41"/>
  <c r="C42" i="41"/>
  <c r="C41" i="41"/>
  <c r="R40" i="41"/>
  <c r="Q40" i="41"/>
  <c r="P40" i="41"/>
  <c r="O40" i="41"/>
  <c r="N40" i="41"/>
  <c r="M40" i="41"/>
  <c r="L40" i="41"/>
  <c r="K40" i="41"/>
  <c r="J40" i="41"/>
  <c r="I40" i="41"/>
  <c r="H40" i="41"/>
  <c r="G40" i="41"/>
  <c r="F40" i="41"/>
  <c r="E40" i="41"/>
  <c r="D40" i="41"/>
  <c r="C40" i="41" s="1"/>
  <c r="C70" i="68" s="1"/>
  <c r="R39" i="41"/>
  <c r="Q39" i="41"/>
  <c r="P39" i="41"/>
  <c r="O39" i="41"/>
  <c r="N39" i="41"/>
  <c r="M39" i="41"/>
  <c r="L39" i="41"/>
  <c r="K39" i="41"/>
  <c r="J39" i="41"/>
  <c r="I39" i="41"/>
  <c r="H39" i="41"/>
  <c r="G39" i="41"/>
  <c r="F39" i="41"/>
  <c r="E39" i="41"/>
  <c r="D39" i="41"/>
  <c r="C38" i="41"/>
  <c r="C36" i="41"/>
  <c r="C35" i="41"/>
  <c r="C34" i="41"/>
  <c r="C33" i="41"/>
  <c r="R32" i="41"/>
  <c r="Q32" i="41"/>
  <c r="P32" i="41"/>
  <c r="O32" i="41"/>
  <c r="N32" i="41"/>
  <c r="M32" i="41"/>
  <c r="L32" i="41"/>
  <c r="K32" i="41"/>
  <c r="J32" i="41"/>
  <c r="I32" i="41"/>
  <c r="H32" i="41"/>
  <c r="G32" i="41"/>
  <c r="F32" i="41"/>
  <c r="E32" i="41"/>
  <c r="D32" i="41"/>
  <c r="C31" i="41"/>
  <c r="R30" i="41"/>
  <c r="Q30" i="41"/>
  <c r="P30" i="41"/>
  <c r="O30" i="41"/>
  <c r="N30" i="41"/>
  <c r="M30" i="41"/>
  <c r="L30" i="41"/>
  <c r="K30" i="41"/>
  <c r="K26" i="41" s="1"/>
  <c r="J30" i="41"/>
  <c r="I30" i="41"/>
  <c r="H30" i="41"/>
  <c r="G30" i="41"/>
  <c r="F30" i="41"/>
  <c r="E30" i="41"/>
  <c r="C30" i="41" s="1"/>
  <c r="C81" i="68" s="1"/>
  <c r="D30" i="41"/>
  <c r="R29" i="41"/>
  <c r="Q29" i="41"/>
  <c r="P29" i="41"/>
  <c r="O29" i="41"/>
  <c r="N29" i="41"/>
  <c r="M29" i="41"/>
  <c r="L29" i="41"/>
  <c r="K29" i="41"/>
  <c r="J29" i="41"/>
  <c r="I29" i="41"/>
  <c r="I26" i="41"/>
  <c r="H29" i="41"/>
  <c r="G29" i="41"/>
  <c r="G26" i="41" s="1"/>
  <c r="F29" i="41"/>
  <c r="E29" i="41"/>
  <c r="D29" i="41"/>
  <c r="C28" i="41"/>
  <c r="A28" i="41"/>
  <c r="A29" i="41" s="1"/>
  <c r="A30" i="41" s="1"/>
  <c r="A31" i="41" s="1"/>
  <c r="A32" i="41" s="1"/>
  <c r="A33" i="41" s="1"/>
  <c r="A34" i="41"/>
  <c r="A35" i="41" s="1"/>
  <c r="A36" i="41" s="1"/>
  <c r="A37" i="41" s="1"/>
  <c r="A38" i="41" s="1"/>
  <c r="A39" i="41" s="1"/>
  <c r="A40" i="41" s="1"/>
  <c r="A41" i="41" s="1"/>
  <c r="A42" i="41" s="1"/>
  <c r="R27" i="41"/>
  <c r="Q27" i="41"/>
  <c r="Q26" i="41" s="1"/>
  <c r="P27" i="41"/>
  <c r="O27" i="41"/>
  <c r="O26" i="41" s="1"/>
  <c r="N27" i="41"/>
  <c r="N26" i="41"/>
  <c r="M27" i="41"/>
  <c r="L27" i="41"/>
  <c r="L26" i="41" s="1"/>
  <c r="K27" i="41"/>
  <c r="J27" i="41"/>
  <c r="J26" i="41" s="1"/>
  <c r="I27" i="41"/>
  <c r="H27" i="41"/>
  <c r="H26" i="41" s="1"/>
  <c r="G27" i="41"/>
  <c r="F27" i="41"/>
  <c r="F26" i="41" s="1"/>
  <c r="E27" i="41"/>
  <c r="D27" i="41"/>
  <c r="C27" i="41" s="1"/>
  <c r="R25" i="41"/>
  <c r="O25" i="41"/>
  <c r="N25" i="41"/>
  <c r="L25" i="41"/>
  <c r="J25" i="41"/>
  <c r="I25" i="41"/>
  <c r="E25" i="41"/>
  <c r="D25" i="41"/>
  <c r="R24" i="41"/>
  <c r="Q24" i="41"/>
  <c r="P24" i="41"/>
  <c r="O24" i="41"/>
  <c r="N24" i="41"/>
  <c r="M24" i="41"/>
  <c r="L24" i="41"/>
  <c r="K24" i="41"/>
  <c r="J24" i="41"/>
  <c r="I24" i="41"/>
  <c r="H24" i="41"/>
  <c r="G24" i="41"/>
  <c r="F24" i="41"/>
  <c r="E24" i="41"/>
  <c r="D24" i="41"/>
  <c r="R23" i="41"/>
  <c r="Q23" i="41"/>
  <c r="P23" i="41"/>
  <c r="O23" i="41"/>
  <c r="N23" i="41"/>
  <c r="M23" i="41"/>
  <c r="M22" i="41" s="1"/>
  <c r="L23" i="41"/>
  <c r="K23" i="41"/>
  <c r="J23" i="41"/>
  <c r="I23" i="41"/>
  <c r="H23" i="41"/>
  <c r="G23" i="41"/>
  <c r="F23" i="41"/>
  <c r="E23" i="41"/>
  <c r="D23" i="41"/>
  <c r="Q22" i="41"/>
  <c r="G22" i="41"/>
  <c r="R21" i="41"/>
  <c r="Q21" i="41"/>
  <c r="P21" i="41"/>
  <c r="O21" i="41"/>
  <c r="N21" i="41"/>
  <c r="M21" i="41"/>
  <c r="L21" i="41"/>
  <c r="K21" i="41"/>
  <c r="J21" i="41"/>
  <c r="I21" i="41"/>
  <c r="H21" i="41"/>
  <c r="G21" i="41"/>
  <c r="F21" i="41"/>
  <c r="E21" i="41"/>
  <c r="D21" i="41"/>
  <c r="R20" i="41"/>
  <c r="Q20" i="41"/>
  <c r="P20" i="41"/>
  <c r="O20" i="41"/>
  <c r="N20" i="41"/>
  <c r="M20" i="41"/>
  <c r="L20" i="41"/>
  <c r="K20" i="41"/>
  <c r="J20" i="41"/>
  <c r="I20" i="41"/>
  <c r="H20" i="41"/>
  <c r="G20" i="41"/>
  <c r="F20" i="41"/>
  <c r="E20" i="41"/>
  <c r="D20" i="41"/>
  <c r="R19" i="41"/>
  <c r="Q19" i="41"/>
  <c r="P19" i="41"/>
  <c r="O19" i="41"/>
  <c r="N19" i="41"/>
  <c r="M19" i="41"/>
  <c r="L19" i="41"/>
  <c r="K19" i="41"/>
  <c r="J19" i="41"/>
  <c r="I19" i="41"/>
  <c r="H19" i="41"/>
  <c r="G19" i="41"/>
  <c r="F19" i="41"/>
  <c r="E19" i="41"/>
  <c r="D19" i="41"/>
  <c r="Q18" i="41"/>
  <c r="P18" i="41"/>
  <c r="N18" i="41"/>
  <c r="M18" i="41"/>
  <c r="L18" i="41"/>
  <c r="K18" i="41"/>
  <c r="I18" i="41"/>
  <c r="H18" i="41"/>
  <c r="G18" i="41"/>
  <c r="F18" i="41"/>
  <c r="E18" i="41"/>
  <c r="D18" i="41"/>
  <c r="R17" i="41"/>
  <c r="Q17" i="41"/>
  <c r="P17" i="41"/>
  <c r="O17" i="41"/>
  <c r="N17" i="41"/>
  <c r="M17" i="41"/>
  <c r="L17" i="41"/>
  <c r="K17" i="41"/>
  <c r="J17" i="41"/>
  <c r="I17" i="41"/>
  <c r="H17" i="41"/>
  <c r="G17" i="41"/>
  <c r="F17" i="41"/>
  <c r="E17" i="41"/>
  <c r="D17" i="41"/>
  <c r="R16" i="41"/>
  <c r="Q16" i="41"/>
  <c r="P16" i="41"/>
  <c r="O16" i="41"/>
  <c r="N16" i="41"/>
  <c r="M16" i="41"/>
  <c r="L16" i="41"/>
  <c r="K16" i="41"/>
  <c r="J16" i="41"/>
  <c r="I16" i="41"/>
  <c r="H16" i="41"/>
  <c r="G16" i="41"/>
  <c r="F16" i="41"/>
  <c r="E16" i="41"/>
  <c r="D16" i="41"/>
  <c r="R15" i="41"/>
  <c r="Q15" i="41"/>
  <c r="P15" i="41"/>
  <c r="O15" i="41"/>
  <c r="N15" i="41"/>
  <c r="M15" i="41"/>
  <c r="L15" i="41"/>
  <c r="L12" i="41" s="1"/>
  <c r="K15" i="41"/>
  <c r="J15" i="41"/>
  <c r="I15" i="41"/>
  <c r="H15" i="41"/>
  <c r="G15" i="41"/>
  <c r="F15" i="41"/>
  <c r="E15" i="41"/>
  <c r="D15" i="41"/>
  <c r="R14" i="41"/>
  <c r="Q14" i="41"/>
  <c r="P14" i="41"/>
  <c r="O14" i="41"/>
  <c r="N14" i="41"/>
  <c r="M14" i="41"/>
  <c r="L14" i="41"/>
  <c r="K14" i="41"/>
  <c r="J14" i="41"/>
  <c r="I14" i="41"/>
  <c r="H14" i="41"/>
  <c r="G14" i="41"/>
  <c r="F14" i="41"/>
  <c r="E14" i="41"/>
  <c r="D14" i="41"/>
  <c r="C14" i="41"/>
  <c r="R13" i="41"/>
  <c r="Q13" i="41"/>
  <c r="Q12" i="41" s="1"/>
  <c r="Q11" i="41" s="1"/>
  <c r="Q44" i="41" s="1"/>
  <c r="P13" i="41"/>
  <c r="O13" i="41"/>
  <c r="N13" i="41"/>
  <c r="M13" i="41"/>
  <c r="L13" i="41"/>
  <c r="K13" i="41"/>
  <c r="J13" i="41"/>
  <c r="I13" i="41"/>
  <c r="H13" i="41"/>
  <c r="G13" i="41"/>
  <c r="F13" i="41"/>
  <c r="E13" i="41"/>
  <c r="E12" i="41" s="1"/>
  <c r="D13" i="41"/>
  <c r="C9" i="41"/>
  <c r="Q79" i="70"/>
  <c r="N79" i="70"/>
  <c r="M79" i="70"/>
  <c r="K79" i="70"/>
  <c r="J79" i="70"/>
  <c r="I79" i="70"/>
  <c r="F79" i="70"/>
  <c r="E79" i="70"/>
  <c r="D79" i="70"/>
  <c r="Q78" i="70"/>
  <c r="N78" i="70"/>
  <c r="M78" i="70"/>
  <c r="K78" i="70"/>
  <c r="J78" i="70"/>
  <c r="I78" i="70"/>
  <c r="F78" i="70"/>
  <c r="E78" i="70"/>
  <c r="D78" i="70"/>
  <c r="Q77" i="70"/>
  <c r="N77" i="70"/>
  <c r="M77" i="70"/>
  <c r="K77" i="70"/>
  <c r="J77" i="70"/>
  <c r="I77" i="70"/>
  <c r="F77" i="70"/>
  <c r="E77" i="70"/>
  <c r="D77" i="70"/>
  <c r="Q76" i="70"/>
  <c r="N76" i="70"/>
  <c r="M76" i="70"/>
  <c r="K76" i="70"/>
  <c r="J76" i="70"/>
  <c r="I76" i="70"/>
  <c r="F76" i="70"/>
  <c r="E76" i="70"/>
  <c r="D76" i="70"/>
  <c r="Q75" i="70"/>
  <c r="N75" i="70"/>
  <c r="M75" i="70"/>
  <c r="K75" i="70"/>
  <c r="J75" i="70"/>
  <c r="I75" i="70"/>
  <c r="F75" i="70"/>
  <c r="E75" i="70"/>
  <c r="D75" i="70"/>
  <c r="Q74" i="70"/>
  <c r="N74" i="70"/>
  <c r="M74" i="70"/>
  <c r="K74" i="70"/>
  <c r="J74" i="70"/>
  <c r="I74" i="70"/>
  <c r="F74" i="70"/>
  <c r="E74" i="70"/>
  <c r="D74" i="70"/>
  <c r="Q73" i="70"/>
  <c r="N73" i="70"/>
  <c r="M73" i="70"/>
  <c r="K73" i="70"/>
  <c r="J73" i="70"/>
  <c r="I73" i="70"/>
  <c r="F73" i="70"/>
  <c r="E73" i="70"/>
  <c r="D73" i="70"/>
  <c r="Q72" i="70"/>
  <c r="N72" i="70"/>
  <c r="M72" i="70"/>
  <c r="K72" i="70"/>
  <c r="J72" i="70"/>
  <c r="I72" i="70"/>
  <c r="F72" i="70"/>
  <c r="E72" i="70"/>
  <c r="D72" i="70"/>
  <c r="Q71" i="70"/>
  <c r="N71" i="70"/>
  <c r="M71" i="70"/>
  <c r="K71" i="70"/>
  <c r="J71" i="70"/>
  <c r="I71" i="70"/>
  <c r="F71" i="70"/>
  <c r="E71" i="70"/>
  <c r="D71" i="70"/>
  <c r="Q70" i="70"/>
  <c r="N70" i="70"/>
  <c r="M70" i="70"/>
  <c r="K70" i="70"/>
  <c r="J70" i="70"/>
  <c r="I70" i="70"/>
  <c r="F70" i="70"/>
  <c r="E70" i="70"/>
  <c r="D70" i="70"/>
  <c r="Q69" i="70"/>
  <c r="N69" i="70"/>
  <c r="M69" i="70"/>
  <c r="K69" i="70"/>
  <c r="J69" i="70"/>
  <c r="I69" i="70"/>
  <c r="F69" i="70"/>
  <c r="E69" i="70"/>
  <c r="D69" i="70"/>
  <c r="Q68" i="70"/>
  <c r="N68" i="70"/>
  <c r="M68" i="70"/>
  <c r="K68" i="70"/>
  <c r="J68" i="70"/>
  <c r="I68" i="70"/>
  <c r="F68" i="70"/>
  <c r="E68" i="70"/>
  <c r="D68" i="70"/>
  <c r="Q67" i="70"/>
  <c r="N67" i="70"/>
  <c r="M67" i="70"/>
  <c r="K67" i="70"/>
  <c r="J67" i="70"/>
  <c r="I67" i="70"/>
  <c r="F67" i="70"/>
  <c r="D67" i="70"/>
  <c r="P66" i="70"/>
  <c r="Q65" i="70"/>
  <c r="M65" i="70"/>
  <c r="O65" i="70" s="1"/>
  <c r="K65" i="70"/>
  <c r="J65" i="70"/>
  <c r="I65" i="70"/>
  <c r="F65" i="70"/>
  <c r="E65" i="70"/>
  <c r="D65" i="70"/>
  <c r="Q64" i="70"/>
  <c r="M64" i="70"/>
  <c r="O64" i="70" s="1"/>
  <c r="K64" i="70"/>
  <c r="J64" i="70"/>
  <c r="I64" i="70"/>
  <c r="F64" i="70"/>
  <c r="E64" i="70"/>
  <c r="D64" i="70"/>
  <c r="Q63" i="70"/>
  <c r="M63" i="70"/>
  <c r="O63" i="70" s="1"/>
  <c r="K63" i="70"/>
  <c r="J63" i="70"/>
  <c r="I63" i="70"/>
  <c r="F63" i="70"/>
  <c r="E63" i="70"/>
  <c r="D63" i="70"/>
  <c r="Q62" i="70"/>
  <c r="M62" i="70"/>
  <c r="O62" i="70" s="1"/>
  <c r="K62" i="70"/>
  <c r="J62" i="70"/>
  <c r="I62" i="70"/>
  <c r="F62" i="70"/>
  <c r="E62" i="70"/>
  <c r="D62" i="70"/>
  <c r="Q61" i="70"/>
  <c r="M61" i="70"/>
  <c r="O61" i="70" s="1"/>
  <c r="K61" i="70"/>
  <c r="J61" i="70"/>
  <c r="I61" i="70"/>
  <c r="F61" i="70"/>
  <c r="E61" i="70"/>
  <c r="D61" i="70"/>
  <c r="Q60" i="70"/>
  <c r="M60" i="70"/>
  <c r="O60" i="70" s="1"/>
  <c r="K60" i="70"/>
  <c r="J60" i="70"/>
  <c r="I60" i="70"/>
  <c r="F60" i="70"/>
  <c r="E60" i="70"/>
  <c r="D60" i="70"/>
  <c r="Q59" i="70"/>
  <c r="M59" i="70"/>
  <c r="O59" i="70" s="1"/>
  <c r="K59" i="70"/>
  <c r="J59" i="70"/>
  <c r="I59" i="70"/>
  <c r="F59" i="70"/>
  <c r="D59" i="70"/>
  <c r="C59" i="70" s="1"/>
  <c r="Q58" i="70"/>
  <c r="M58" i="70"/>
  <c r="O58" i="70" s="1"/>
  <c r="K58" i="70"/>
  <c r="J58" i="70"/>
  <c r="I58" i="70"/>
  <c r="F58" i="70"/>
  <c r="E58" i="70"/>
  <c r="D58" i="70"/>
  <c r="Q57" i="70"/>
  <c r="M57" i="70"/>
  <c r="O57" i="70" s="1"/>
  <c r="K57" i="70"/>
  <c r="J57" i="70"/>
  <c r="I57" i="70"/>
  <c r="F57" i="70"/>
  <c r="E57" i="70"/>
  <c r="D57" i="70"/>
  <c r="Q56" i="70"/>
  <c r="M56" i="70"/>
  <c r="O56" i="70" s="1"/>
  <c r="K56" i="70"/>
  <c r="J56" i="70"/>
  <c r="I56" i="70"/>
  <c r="F56" i="70"/>
  <c r="E56" i="70"/>
  <c r="D56" i="70"/>
  <c r="Q55" i="70"/>
  <c r="M55" i="70"/>
  <c r="O55" i="70" s="1"/>
  <c r="K55" i="70"/>
  <c r="J55" i="70"/>
  <c r="I55" i="70"/>
  <c r="F55" i="70"/>
  <c r="E55" i="70"/>
  <c r="D55" i="70"/>
  <c r="Q54" i="70"/>
  <c r="M54" i="70"/>
  <c r="O54" i="70" s="1"/>
  <c r="K54" i="70"/>
  <c r="J54" i="70"/>
  <c r="I54" i="70"/>
  <c r="F54" i="70"/>
  <c r="E54" i="70"/>
  <c r="D54" i="70"/>
  <c r="Q53" i="70"/>
  <c r="M53" i="70"/>
  <c r="O53" i="70" s="1"/>
  <c r="K53" i="70"/>
  <c r="J53" i="70"/>
  <c r="I53" i="70"/>
  <c r="F53" i="70"/>
  <c r="E53" i="70"/>
  <c r="D53" i="70"/>
  <c r="Q52" i="70"/>
  <c r="M52" i="70"/>
  <c r="O52" i="70" s="1"/>
  <c r="K52" i="70"/>
  <c r="J52" i="70"/>
  <c r="I52" i="70"/>
  <c r="F52" i="70"/>
  <c r="E52" i="70"/>
  <c r="D52" i="70"/>
  <c r="Q51" i="70"/>
  <c r="M51" i="70"/>
  <c r="O51" i="70" s="1"/>
  <c r="K51" i="70"/>
  <c r="J51" i="70"/>
  <c r="I51" i="70"/>
  <c r="F51" i="70"/>
  <c r="E51" i="70"/>
  <c r="D51" i="70"/>
  <c r="Q50" i="70"/>
  <c r="M50" i="70"/>
  <c r="O50" i="70" s="1"/>
  <c r="K50" i="70"/>
  <c r="J50" i="70"/>
  <c r="I50" i="70"/>
  <c r="F50" i="70"/>
  <c r="E50" i="70"/>
  <c r="D50" i="70"/>
  <c r="Q49" i="70"/>
  <c r="M49" i="70"/>
  <c r="O49" i="70" s="1"/>
  <c r="K49" i="70"/>
  <c r="J49" i="70"/>
  <c r="I49" i="70"/>
  <c r="F49" i="70"/>
  <c r="E49" i="70"/>
  <c r="D49" i="70"/>
  <c r="Q48" i="70"/>
  <c r="M48" i="70"/>
  <c r="O48" i="70" s="1"/>
  <c r="K48" i="70"/>
  <c r="J48" i="70"/>
  <c r="I48" i="70"/>
  <c r="F48" i="70"/>
  <c r="E48" i="70"/>
  <c r="D48" i="70"/>
  <c r="Q47" i="70"/>
  <c r="M47" i="70"/>
  <c r="O47" i="70" s="1"/>
  <c r="K47" i="70"/>
  <c r="J47" i="70"/>
  <c r="I47" i="70"/>
  <c r="F47" i="70"/>
  <c r="E47" i="70"/>
  <c r="D47" i="70"/>
  <c r="Q46" i="70"/>
  <c r="M46" i="70"/>
  <c r="O46" i="70" s="1"/>
  <c r="K46" i="70"/>
  <c r="J46" i="70"/>
  <c r="I46" i="70"/>
  <c r="F46" i="70"/>
  <c r="E46" i="70"/>
  <c r="D46" i="70"/>
  <c r="Q45" i="70"/>
  <c r="M45" i="70"/>
  <c r="O45" i="70" s="1"/>
  <c r="K45" i="70"/>
  <c r="J45" i="70"/>
  <c r="I45" i="70"/>
  <c r="F45" i="70"/>
  <c r="E45" i="70"/>
  <c r="D45" i="70"/>
  <c r="Q44" i="70"/>
  <c r="M44" i="70"/>
  <c r="O44" i="70" s="1"/>
  <c r="K44" i="70"/>
  <c r="J44" i="70"/>
  <c r="I44" i="70"/>
  <c r="F44" i="70"/>
  <c r="E44" i="70"/>
  <c r="D44" i="70"/>
  <c r="Q43" i="70"/>
  <c r="M43" i="70"/>
  <c r="O43" i="70" s="1"/>
  <c r="K43" i="70"/>
  <c r="J43" i="70"/>
  <c r="I43" i="70"/>
  <c r="F43" i="70"/>
  <c r="E43" i="70"/>
  <c r="D43" i="70"/>
  <c r="Q42" i="70"/>
  <c r="M42" i="70"/>
  <c r="O42" i="70" s="1"/>
  <c r="K42" i="70"/>
  <c r="J42" i="70"/>
  <c r="I42" i="70"/>
  <c r="F42" i="70"/>
  <c r="E42" i="70"/>
  <c r="D42" i="70"/>
  <c r="Q41" i="70"/>
  <c r="M41" i="70"/>
  <c r="O41" i="70" s="1"/>
  <c r="K41" i="70"/>
  <c r="J41" i="70"/>
  <c r="I41" i="70"/>
  <c r="F41" i="70"/>
  <c r="E41" i="70"/>
  <c r="D41" i="70"/>
  <c r="Q40" i="70"/>
  <c r="M40" i="70"/>
  <c r="O40" i="70" s="1"/>
  <c r="K40" i="70"/>
  <c r="J40" i="70"/>
  <c r="I40" i="70"/>
  <c r="F40" i="70"/>
  <c r="E40" i="70"/>
  <c r="D40" i="70"/>
  <c r="Q39" i="70"/>
  <c r="M39" i="70"/>
  <c r="O39" i="70" s="1"/>
  <c r="K39" i="70"/>
  <c r="J39" i="70"/>
  <c r="I39" i="70"/>
  <c r="F39" i="70"/>
  <c r="D39" i="70"/>
  <c r="C39" i="70" s="1"/>
  <c r="Q38" i="70"/>
  <c r="M38" i="70"/>
  <c r="O38" i="70" s="1"/>
  <c r="K38" i="70"/>
  <c r="J38" i="70"/>
  <c r="I38" i="70"/>
  <c r="F38" i="70"/>
  <c r="E38" i="70"/>
  <c r="D38" i="70"/>
  <c r="Q37" i="70"/>
  <c r="M37" i="70"/>
  <c r="O37" i="70" s="1"/>
  <c r="K37" i="70"/>
  <c r="J37" i="70"/>
  <c r="I37" i="70"/>
  <c r="F37" i="70"/>
  <c r="E37" i="70"/>
  <c r="D37" i="70"/>
  <c r="C37" i="70" s="1"/>
  <c r="Q36" i="70"/>
  <c r="M36" i="70"/>
  <c r="O36" i="70" s="1"/>
  <c r="K36" i="70"/>
  <c r="J36" i="70"/>
  <c r="I36" i="70"/>
  <c r="F36" i="70"/>
  <c r="E36" i="70"/>
  <c r="D36" i="70"/>
  <c r="Q35" i="70"/>
  <c r="M35" i="70"/>
  <c r="O35" i="70" s="1"/>
  <c r="K35" i="70"/>
  <c r="J35" i="70"/>
  <c r="I35" i="70"/>
  <c r="F35" i="70"/>
  <c r="E35" i="70"/>
  <c r="D35" i="70"/>
  <c r="Q34" i="70"/>
  <c r="M34" i="70"/>
  <c r="O34" i="70" s="1"/>
  <c r="K34" i="70"/>
  <c r="J34" i="70"/>
  <c r="I34" i="70"/>
  <c r="F34" i="70"/>
  <c r="E34" i="70"/>
  <c r="D34" i="70"/>
  <c r="Q33" i="70"/>
  <c r="M33" i="70"/>
  <c r="O33" i="70" s="1"/>
  <c r="K33" i="70"/>
  <c r="J33" i="70"/>
  <c r="I33" i="70"/>
  <c r="F33" i="70"/>
  <c r="E33" i="70"/>
  <c r="D33" i="70"/>
  <c r="Q32" i="70"/>
  <c r="M32" i="70"/>
  <c r="O32" i="70" s="1"/>
  <c r="K32" i="70"/>
  <c r="K31" i="70" s="1"/>
  <c r="J32" i="70"/>
  <c r="I32" i="70"/>
  <c r="F32" i="70"/>
  <c r="E32" i="70"/>
  <c r="D32" i="70"/>
  <c r="P31" i="70"/>
  <c r="N31" i="70"/>
  <c r="Q30" i="70"/>
  <c r="N30" i="70"/>
  <c r="M30" i="70"/>
  <c r="K30" i="70"/>
  <c r="J30" i="70"/>
  <c r="I30" i="70"/>
  <c r="F30" i="70"/>
  <c r="E30" i="70"/>
  <c r="D30" i="70"/>
  <c r="Q29" i="70"/>
  <c r="N29" i="70"/>
  <c r="M29" i="70"/>
  <c r="K29" i="70"/>
  <c r="J29" i="70"/>
  <c r="I29" i="70"/>
  <c r="F29" i="70"/>
  <c r="E29" i="70"/>
  <c r="D29" i="70"/>
  <c r="Q28" i="70"/>
  <c r="N28" i="70"/>
  <c r="M28" i="70"/>
  <c r="K28" i="70"/>
  <c r="J28" i="70"/>
  <c r="I28" i="70"/>
  <c r="F28" i="70"/>
  <c r="E28" i="70"/>
  <c r="D28" i="70"/>
  <c r="Q27" i="70"/>
  <c r="N27" i="70"/>
  <c r="M27" i="70"/>
  <c r="K27" i="70"/>
  <c r="J27" i="70"/>
  <c r="I27" i="70"/>
  <c r="F27" i="70"/>
  <c r="E27" i="70"/>
  <c r="D27" i="70"/>
  <c r="Q26" i="70"/>
  <c r="N26" i="70"/>
  <c r="M26" i="70"/>
  <c r="K26" i="70"/>
  <c r="J26" i="70"/>
  <c r="I26" i="70"/>
  <c r="F26" i="70"/>
  <c r="E26" i="70"/>
  <c r="D26" i="70"/>
  <c r="Q25" i="70"/>
  <c r="N25" i="70"/>
  <c r="M25" i="70"/>
  <c r="K25" i="70"/>
  <c r="J25" i="70"/>
  <c r="I25" i="70"/>
  <c r="F25" i="70"/>
  <c r="E25" i="70"/>
  <c r="D25" i="70"/>
  <c r="Q24" i="70"/>
  <c r="N24" i="70"/>
  <c r="M24" i="70"/>
  <c r="K24" i="70"/>
  <c r="J24" i="70"/>
  <c r="I24" i="70"/>
  <c r="F24" i="70"/>
  <c r="E24" i="70"/>
  <c r="D24" i="70"/>
  <c r="Q23" i="70"/>
  <c r="N23" i="70"/>
  <c r="M23" i="70"/>
  <c r="K23" i="70"/>
  <c r="J23" i="70"/>
  <c r="I23" i="70"/>
  <c r="F23" i="70"/>
  <c r="E23" i="70"/>
  <c r="D23" i="70"/>
  <c r="Q22" i="70"/>
  <c r="N22" i="70"/>
  <c r="M22" i="70"/>
  <c r="K22" i="70"/>
  <c r="J22" i="70"/>
  <c r="I22" i="70"/>
  <c r="F22" i="70"/>
  <c r="E22" i="70"/>
  <c r="D22" i="70"/>
  <c r="Q21" i="70"/>
  <c r="N21" i="70"/>
  <c r="M21" i="70"/>
  <c r="K21" i="70"/>
  <c r="J21" i="70"/>
  <c r="I21" i="70"/>
  <c r="F21" i="70"/>
  <c r="E21" i="70"/>
  <c r="D21" i="70"/>
  <c r="C21" i="70" s="1"/>
  <c r="Q20" i="70"/>
  <c r="N20" i="70"/>
  <c r="M20" i="70"/>
  <c r="O20" i="70" s="1"/>
  <c r="K20" i="70"/>
  <c r="J20" i="70"/>
  <c r="I20" i="70"/>
  <c r="F20" i="70"/>
  <c r="E20" i="70"/>
  <c r="D20" i="70"/>
  <c r="Q19" i="70"/>
  <c r="N19" i="70"/>
  <c r="M19" i="70"/>
  <c r="K19" i="70"/>
  <c r="J19" i="70"/>
  <c r="I19" i="70"/>
  <c r="F19" i="70"/>
  <c r="E19" i="70"/>
  <c r="D19" i="70"/>
  <c r="Q18" i="70"/>
  <c r="N18" i="70"/>
  <c r="M18" i="70"/>
  <c r="O18" i="70" s="1"/>
  <c r="K18" i="70"/>
  <c r="J18" i="70"/>
  <c r="I18" i="70"/>
  <c r="F18" i="70"/>
  <c r="E18" i="70"/>
  <c r="D18" i="70"/>
  <c r="Q17" i="70"/>
  <c r="N17" i="70"/>
  <c r="M17" i="70"/>
  <c r="K17" i="70"/>
  <c r="J17" i="70"/>
  <c r="I17" i="70"/>
  <c r="F17" i="70"/>
  <c r="E17" i="70"/>
  <c r="D17" i="70"/>
  <c r="C17" i="70"/>
  <c r="Q16" i="70"/>
  <c r="N16" i="70"/>
  <c r="M16" i="70"/>
  <c r="O16" i="70"/>
  <c r="K16" i="70"/>
  <c r="J16" i="70"/>
  <c r="I16" i="70"/>
  <c r="F16" i="70"/>
  <c r="E16" i="70"/>
  <c r="D16" i="70"/>
  <c r="C16" i="70" s="1"/>
  <c r="Q15" i="70"/>
  <c r="N15" i="70"/>
  <c r="N13" i="70" s="1"/>
  <c r="M15" i="70"/>
  <c r="K15" i="70"/>
  <c r="J15" i="70"/>
  <c r="I15" i="70"/>
  <c r="I13" i="70" s="1"/>
  <c r="F15" i="70"/>
  <c r="E15" i="70"/>
  <c r="E13" i="70" s="1"/>
  <c r="D15" i="70"/>
  <c r="Q14" i="70"/>
  <c r="Q13" i="70" s="1"/>
  <c r="N14" i="70"/>
  <c r="M14" i="70"/>
  <c r="K14" i="70"/>
  <c r="J14" i="70"/>
  <c r="I14" i="70"/>
  <c r="F14" i="70"/>
  <c r="F13" i="70" s="1"/>
  <c r="E14" i="70"/>
  <c r="D14" i="70"/>
  <c r="D13" i="70" s="1"/>
  <c r="P13" i="70"/>
  <c r="P83" i="35"/>
  <c r="G83" i="35"/>
  <c r="C83" i="35"/>
  <c r="G82" i="35"/>
  <c r="F82" i="35"/>
  <c r="C84" i="68" s="1"/>
  <c r="C82" i="35"/>
  <c r="F81" i="35"/>
  <c r="C54" i="68" s="1"/>
  <c r="G80" i="35"/>
  <c r="F80" i="35" s="1"/>
  <c r="G79" i="35"/>
  <c r="F79" i="35" s="1"/>
  <c r="G78" i="35"/>
  <c r="F78" i="35" s="1"/>
  <c r="G77" i="35"/>
  <c r="F77" i="35" s="1"/>
  <c r="F76" i="35" s="1"/>
  <c r="C53" i="68" s="1"/>
  <c r="O76" i="35"/>
  <c r="N76" i="35"/>
  <c r="M76" i="35"/>
  <c r="L76" i="35"/>
  <c r="J76" i="35"/>
  <c r="I76" i="35"/>
  <c r="H76" i="35"/>
  <c r="G76" i="35"/>
  <c r="G75" i="35"/>
  <c r="F75" i="35"/>
  <c r="C50" i="68" s="1"/>
  <c r="C75" i="35"/>
  <c r="G74" i="35"/>
  <c r="F74" i="35" s="1"/>
  <c r="C74" i="35"/>
  <c r="C73" i="35" s="1"/>
  <c r="O73" i="35"/>
  <c r="M73" i="35"/>
  <c r="L73" i="35"/>
  <c r="J73" i="35"/>
  <c r="I73" i="35"/>
  <c r="H73" i="35"/>
  <c r="G73" i="35"/>
  <c r="E73" i="35"/>
  <c r="D73" i="35"/>
  <c r="G72" i="35"/>
  <c r="F72" i="35"/>
  <c r="C72" i="35"/>
  <c r="G71" i="35"/>
  <c r="F71" i="35" s="1"/>
  <c r="C71" i="35"/>
  <c r="G70" i="35"/>
  <c r="F70" i="35" s="1"/>
  <c r="C70" i="35"/>
  <c r="G69" i="35"/>
  <c r="F69" i="35" s="1"/>
  <c r="C69" i="35"/>
  <c r="G68" i="35"/>
  <c r="F68" i="35" s="1"/>
  <c r="G67" i="35"/>
  <c r="F67" i="35" s="1"/>
  <c r="C67" i="35"/>
  <c r="G66" i="35"/>
  <c r="F66" i="35" s="1"/>
  <c r="C66" i="35"/>
  <c r="N64" i="35"/>
  <c r="N63" i="35" s="1"/>
  <c r="L65" i="35"/>
  <c r="L64" i="35" s="1"/>
  <c r="L63" i="35" s="1"/>
  <c r="H65" i="35"/>
  <c r="J65" i="35" s="1"/>
  <c r="H64" i="35"/>
  <c r="H63" i="35" s="1"/>
  <c r="E65" i="35"/>
  <c r="C65" i="35" s="1"/>
  <c r="M64" i="35"/>
  <c r="M63" i="35" s="1"/>
  <c r="K64" i="35"/>
  <c r="K63" i="35" s="1"/>
  <c r="D64" i="35"/>
  <c r="D63" i="35" s="1"/>
  <c r="G62" i="35"/>
  <c r="F62" i="35" s="1"/>
  <c r="C62" i="35"/>
  <c r="O56" i="35"/>
  <c r="G61" i="35"/>
  <c r="F61" i="35" s="1"/>
  <c r="Q60" i="35"/>
  <c r="J60" i="35"/>
  <c r="H60" i="35"/>
  <c r="I60" i="35" s="1"/>
  <c r="C60" i="35"/>
  <c r="N60" i="35" s="1"/>
  <c r="H59" i="35"/>
  <c r="C59" i="35"/>
  <c r="M59" i="35" s="1"/>
  <c r="H58" i="35"/>
  <c r="C58" i="35"/>
  <c r="N58" i="35" s="1"/>
  <c r="N57" i="35"/>
  <c r="M57" i="35"/>
  <c r="I57" i="35"/>
  <c r="H57" i="35"/>
  <c r="L56" i="35"/>
  <c r="K56" i="35"/>
  <c r="E56" i="35"/>
  <c r="D56" i="35"/>
  <c r="I55" i="35"/>
  <c r="H55" i="35"/>
  <c r="J55" i="35" s="1"/>
  <c r="C55" i="35"/>
  <c r="M55" i="35" s="1"/>
  <c r="H54" i="35"/>
  <c r="J54" i="35" s="1"/>
  <c r="C54" i="35"/>
  <c r="N54" i="35" s="1"/>
  <c r="H53" i="35"/>
  <c r="C53" i="35"/>
  <c r="N53" i="35"/>
  <c r="N52" i="35"/>
  <c r="M52" i="35"/>
  <c r="H52" i="35"/>
  <c r="J52" i="35" s="1"/>
  <c r="K50" i="35"/>
  <c r="H51" i="35"/>
  <c r="J51" i="35" s="1"/>
  <c r="C51" i="35"/>
  <c r="M51" i="35" s="1"/>
  <c r="O50" i="35"/>
  <c r="L50" i="35"/>
  <c r="E50" i="35"/>
  <c r="D50" i="35"/>
  <c r="H49" i="35"/>
  <c r="J49" i="35" s="1"/>
  <c r="C49" i="35"/>
  <c r="N49" i="35" s="1"/>
  <c r="N48" i="35"/>
  <c r="M48" i="35"/>
  <c r="H48" i="35"/>
  <c r="M47" i="35"/>
  <c r="H47" i="35"/>
  <c r="N46" i="35"/>
  <c r="M46" i="35"/>
  <c r="H46" i="35"/>
  <c r="H45" i="35"/>
  <c r="C45" i="35"/>
  <c r="N45" i="35" s="1"/>
  <c r="N44" i="35"/>
  <c r="M44" i="35"/>
  <c r="H44" i="35"/>
  <c r="J44" i="35" s="1"/>
  <c r="H43" i="35"/>
  <c r="J43" i="35" s="1"/>
  <c r="C43" i="35"/>
  <c r="M43" i="35" s="1"/>
  <c r="H42" i="35"/>
  <c r="J42" i="35" s="1"/>
  <c r="C42" i="35"/>
  <c r="M42" i="35" s="1"/>
  <c r="H41" i="35"/>
  <c r="I41" i="35" s="1"/>
  <c r="C41" i="35"/>
  <c r="M41" i="35" s="1"/>
  <c r="N40" i="35"/>
  <c r="M40" i="35"/>
  <c r="H40" i="35"/>
  <c r="J40" i="35" s="1"/>
  <c r="G39" i="35"/>
  <c r="F39" i="35" s="1"/>
  <c r="G38" i="35"/>
  <c r="F38" i="35" s="1"/>
  <c r="H37" i="35"/>
  <c r="C37" i="35"/>
  <c r="M37" i="35" s="1"/>
  <c r="E36" i="35"/>
  <c r="D36" i="35"/>
  <c r="N34" i="35"/>
  <c r="M34" i="35"/>
  <c r="J34" i="35"/>
  <c r="I34" i="35"/>
  <c r="H34" i="35"/>
  <c r="E34" i="35"/>
  <c r="E31" i="35" s="1"/>
  <c r="M33" i="35"/>
  <c r="G33" i="35" s="1"/>
  <c r="F33" i="35" s="1"/>
  <c r="C33" i="35"/>
  <c r="J32" i="35"/>
  <c r="J31" i="35" s="1"/>
  <c r="H32" i="35"/>
  <c r="C32" i="35"/>
  <c r="N32" i="35" s="1"/>
  <c r="N31" i="35" s="1"/>
  <c r="O31" i="35"/>
  <c r="L31" i="35"/>
  <c r="K31" i="35"/>
  <c r="D31" i="35"/>
  <c r="G30" i="35"/>
  <c r="F30" i="35" s="1"/>
  <c r="C30" i="35"/>
  <c r="G29" i="35"/>
  <c r="F29" i="35" s="1"/>
  <c r="C29" i="35"/>
  <c r="S28" i="35"/>
  <c r="S29" i="35" s="1"/>
  <c r="S30" i="35" s="1"/>
  <c r="G28" i="35"/>
  <c r="F28" i="35"/>
  <c r="C28" i="35"/>
  <c r="I27" i="35"/>
  <c r="H27" i="35"/>
  <c r="C27" i="35"/>
  <c r="N27" i="35" s="1"/>
  <c r="N26" i="35"/>
  <c r="I26" i="35"/>
  <c r="H26" i="35"/>
  <c r="N25" i="35"/>
  <c r="M25" i="35"/>
  <c r="H25" i="35"/>
  <c r="J24" i="35"/>
  <c r="J23" i="35"/>
  <c r="J22" i="35" s="1"/>
  <c r="H24" i="35"/>
  <c r="C24" i="35"/>
  <c r="M24" i="35" s="1"/>
  <c r="O23" i="35"/>
  <c r="L23" i="35"/>
  <c r="L22" i="35" s="1"/>
  <c r="K23" i="35"/>
  <c r="E23" i="35"/>
  <c r="D23" i="35"/>
  <c r="D22" i="35" s="1"/>
  <c r="C23" i="35"/>
  <c r="F21" i="35"/>
  <c r="P20" i="35"/>
  <c r="F20" i="35"/>
  <c r="C20" i="35"/>
  <c r="M19" i="35"/>
  <c r="G19" i="35"/>
  <c r="C19" i="35"/>
  <c r="C18" i="35"/>
  <c r="O18" i="35"/>
  <c r="N18" i="35"/>
  <c r="M18" i="35"/>
  <c r="L18" i="35"/>
  <c r="J18" i="35"/>
  <c r="I18" i="35"/>
  <c r="H18" i="35"/>
  <c r="E18" i="35"/>
  <c r="D18" i="35"/>
  <c r="I25" i="72"/>
  <c r="N25" i="72" s="1"/>
  <c r="P25" i="72"/>
  <c r="I24" i="72"/>
  <c r="N24" i="72"/>
  <c r="P24" i="72" s="1"/>
  <c r="O23" i="72"/>
  <c r="L23" i="72"/>
  <c r="J23" i="72"/>
  <c r="G23" i="72"/>
  <c r="I23" i="72" s="1"/>
  <c r="F23" i="72"/>
  <c r="E23" i="72"/>
  <c r="E20" i="72" s="1"/>
  <c r="E16" i="72" s="1"/>
  <c r="D23" i="72"/>
  <c r="I22" i="72"/>
  <c r="N22" i="72" s="1"/>
  <c r="P22" i="72" s="1"/>
  <c r="O21" i="72"/>
  <c r="O20" i="72" s="1"/>
  <c r="L21" i="72"/>
  <c r="J21" i="72"/>
  <c r="J20" i="72" s="1"/>
  <c r="H21" i="72"/>
  <c r="H20" i="72" s="1"/>
  <c r="G21" i="72"/>
  <c r="F21" i="72"/>
  <c r="F20" i="72" s="1"/>
  <c r="E21" i="72"/>
  <c r="D21" i="72"/>
  <c r="D20" i="72"/>
  <c r="G20" i="72"/>
  <c r="I20" i="72" s="1"/>
  <c r="I19" i="72"/>
  <c r="N19" i="72" s="1"/>
  <c r="P19" i="72" s="1"/>
  <c r="O18" i="72"/>
  <c r="O17" i="72"/>
  <c r="L18" i="72"/>
  <c r="L17" i="72"/>
  <c r="J18" i="72"/>
  <c r="J17" i="72"/>
  <c r="H18" i="72"/>
  <c r="H17" i="72"/>
  <c r="H16" i="72" s="1"/>
  <c r="G18" i="72"/>
  <c r="F18" i="72"/>
  <c r="F17" i="72"/>
  <c r="E18" i="72"/>
  <c r="E17" i="72"/>
  <c r="D18" i="72"/>
  <c r="D17" i="72"/>
  <c r="Q17" i="72"/>
  <c r="G17" i="72"/>
  <c r="Q16" i="72"/>
  <c r="M16" i="72"/>
  <c r="K16" i="72"/>
  <c r="I15" i="72"/>
  <c r="N15" i="72" s="1"/>
  <c r="P15" i="72"/>
  <c r="O14" i="72"/>
  <c r="L14" i="72"/>
  <c r="L9" i="72" s="1"/>
  <c r="J14" i="72"/>
  <c r="G14" i="72"/>
  <c r="I14" i="72" s="1"/>
  <c r="N14" i="72" s="1"/>
  <c r="P14" i="72" s="1"/>
  <c r="F14" i="72"/>
  <c r="E14" i="72"/>
  <c r="D14" i="72"/>
  <c r="I13" i="72"/>
  <c r="N13" i="72"/>
  <c r="P13" i="72" s="1"/>
  <c r="O12" i="72"/>
  <c r="L12" i="72"/>
  <c r="J12" i="72"/>
  <c r="G12" i="72"/>
  <c r="I12" i="72"/>
  <c r="F12" i="72"/>
  <c r="F9" i="72"/>
  <c r="F8" i="72" s="1"/>
  <c r="E12" i="72"/>
  <c r="D12" i="72"/>
  <c r="I11" i="72"/>
  <c r="N11" i="72" s="1"/>
  <c r="P11" i="72"/>
  <c r="D11" i="72"/>
  <c r="D10" i="72"/>
  <c r="Q10" i="72"/>
  <c r="Q9" i="72"/>
  <c r="Q8" i="72" s="1"/>
  <c r="O10" i="72"/>
  <c r="L10" i="72"/>
  <c r="J10" i="72"/>
  <c r="H10" i="72"/>
  <c r="H9" i="72"/>
  <c r="H8" i="72" s="1"/>
  <c r="G10" i="72"/>
  <c r="F10" i="72"/>
  <c r="E10" i="72"/>
  <c r="L8" i="72"/>
  <c r="M8" i="72"/>
  <c r="K8" i="72"/>
  <c r="A3" i="72"/>
  <c r="AF19" i="71"/>
  <c r="AF18" i="71" s="1"/>
  <c r="AF14" i="71" s="1"/>
  <c r="AF12" i="71" s="1"/>
  <c r="AD19" i="71"/>
  <c r="AD18" i="71"/>
  <c r="AD14" i="71" s="1"/>
  <c r="AD12" i="71" s="1"/>
  <c r="AC19" i="71"/>
  <c r="AC18" i="71"/>
  <c r="AC14" i="71" s="1"/>
  <c r="AC12" i="71"/>
  <c r="Y19" i="71"/>
  <c r="W19" i="71"/>
  <c r="W18" i="71" s="1"/>
  <c r="W14" i="71" s="1"/>
  <c r="W12" i="71" s="1"/>
  <c r="S19" i="71"/>
  <c r="S18" i="71" s="1"/>
  <c r="S14" i="71" s="1"/>
  <c r="S12" i="71" s="1"/>
  <c r="O19" i="71"/>
  <c r="AJ19" i="71" s="1"/>
  <c r="I19" i="71"/>
  <c r="I18" i="71" s="1"/>
  <c r="I14" i="71"/>
  <c r="I12" i="71" s="1"/>
  <c r="AH18" i="71"/>
  <c r="AH14" i="71" s="1"/>
  <c r="AG18" i="71"/>
  <c r="AE18" i="71"/>
  <c r="AE14" i="71"/>
  <c r="AE12" i="71" s="1"/>
  <c r="AB18" i="71"/>
  <c r="AB14" i="71" s="1"/>
  <c r="AA18" i="71"/>
  <c r="AA14" i="71"/>
  <c r="AA12" i="71" s="1"/>
  <c r="Z18" i="71"/>
  <c r="Z14" i="71" s="1"/>
  <c r="Z12" i="71" s="1"/>
  <c r="Y18" i="71"/>
  <c r="Y14" i="71"/>
  <c r="Y12" i="71" s="1"/>
  <c r="X18" i="71"/>
  <c r="X14" i="71" s="1"/>
  <c r="X12" i="71" s="1"/>
  <c r="V18" i="71"/>
  <c r="V14" i="71"/>
  <c r="V12" i="71" s="1"/>
  <c r="U18" i="71"/>
  <c r="U14" i="71" s="1"/>
  <c r="T18" i="71"/>
  <c r="R18" i="71"/>
  <c r="R14" i="71" s="1"/>
  <c r="R12" i="71" s="1"/>
  <c r="Q18" i="71"/>
  <c r="P18" i="71"/>
  <c r="P14" i="71" s="1"/>
  <c r="P12" i="71" s="1"/>
  <c r="N18" i="71"/>
  <c r="N14" i="71"/>
  <c r="N12" i="71" s="1"/>
  <c r="M18" i="71"/>
  <c r="M14" i="71" s="1"/>
  <c r="L18" i="71"/>
  <c r="K18" i="71"/>
  <c r="K14" i="71" s="1"/>
  <c r="K12" i="71" s="1"/>
  <c r="J18" i="71"/>
  <c r="H18" i="71"/>
  <c r="H14" i="71" s="1"/>
  <c r="H12" i="71" s="1"/>
  <c r="AH12" i="71"/>
  <c r="AG14" i="71"/>
  <c r="AG12" i="71"/>
  <c r="AB12" i="71"/>
  <c r="U12" i="71"/>
  <c r="T14" i="71"/>
  <c r="T12" i="71"/>
  <c r="Q14" i="71"/>
  <c r="Q12" i="71"/>
  <c r="M12" i="71"/>
  <c r="L14" i="71"/>
  <c r="L12" i="71"/>
  <c r="J14" i="71"/>
  <c r="J12" i="71"/>
  <c r="AJ13" i="71"/>
  <c r="AI13" i="71"/>
  <c r="AH13" i="71"/>
  <c r="AG13" i="71"/>
  <c r="AF13" i="71"/>
  <c r="AE13" i="71"/>
  <c r="AD13" i="71"/>
  <c r="AC13" i="71"/>
  <c r="AB13" i="71"/>
  <c r="AA13" i="71"/>
  <c r="Z13" i="71"/>
  <c r="Y13" i="71"/>
  <c r="X13" i="71"/>
  <c r="W13" i="71"/>
  <c r="V13" i="71"/>
  <c r="U13" i="71"/>
  <c r="T13" i="71"/>
  <c r="S13" i="71"/>
  <c r="R13" i="71"/>
  <c r="Q13" i="71"/>
  <c r="P13" i="71"/>
  <c r="O13" i="71"/>
  <c r="N13" i="71"/>
  <c r="M13" i="71"/>
  <c r="L13" i="71"/>
  <c r="K13" i="71"/>
  <c r="J13" i="71"/>
  <c r="I13" i="71"/>
  <c r="H13" i="71"/>
  <c r="N11" i="71"/>
  <c r="O11" i="71" s="1"/>
  <c r="P11" i="71" s="1"/>
  <c r="D11" i="71"/>
  <c r="F11" i="71"/>
  <c r="G11" i="71" s="1"/>
  <c r="H11" i="71" s="1"/>
  <c r="I11" i="71" s="1"/>
  <c r="J11" i="71" s="1"/>
  <c r="K11" i="71" s="1"/>
  <c r="A3" i="71"/>
  <c r="CV25" i="46"/>
  <c r="CU25" i="46"/>
  <c r="CT25" i="46" s="1"/>
  <c r="CJ25" i="46"/>
  <c r="AU25" i="46"/>
  <c r="AG25" i="46"/>
  <c r="AF25" i="46" s="1"/>
  <c r="CV24" i="46"/>
  <c r="CU24" i="46"/>
  <c r="CT24" i="46"/>
  <c r="CJ24" i="46"/>
  <c r="AU24" i="46"/>
  <c r="AG24" i="46"/>
  <c r="AE24" i="46" s="1"/>
  <c r="AD24" i="46" s="1"/>
  <c r="AC24" i="46" s="1"/>
  <c r="CV23" i="46"/>
  <c r="CU23" i="46"/>
  <c r="CT23" i="46" s="1"/>
  <c r="CJ23" i="46"/>
  <c r="AU23" i="46"/>
  <c r="AG23" i="46"/>
  <c r="AE23" i="46" s="1"/>
  <c r="AD23" i="46"/>
  <c r="AC23" i="46" s="1"/>
  <c r="CV22" i="46"/>
  <c r="CU22" i="46"/>
  <c r="CT22" i="46"/>
  <c r="CJ22" i="46"/>
  <c r="BN22" i="46"/>
  <c r="AU22" i="46"/>
  <c r="AG22" i="46"/>
  <c r="AE22" i="46" s="1"/>
  <c r="AD22" i="46"/>
  <c r="AC22" i="46" s="1"/>
  <c r="H22" i="46"/>
  <c r="CV21" i="46"/>
  <c r="CU21" i="46"/>
  <c r="CJ21" i="46"/>
  <c r="BN21" i="46"/>
  <c r="BN18" i="46" s="1"/>
  <c r="AU21" i="46"/>
  <c r="AG21" i="46"/>
  <c r="AF21" i="46"/>
  <c r="H21" i="46"/>
  <c r="CV20" i="46"/>
  <c r="CU20" i="46"/>
  <c r="CT20" i="46" s="1"/>
  <c r="CJ20" i="46"/>
  <c r="AU20" i="46"/>
  <c r="AG20" i="46"/>
  <c r="AF20" i="46"/>
  <c r="CV19" i="46"/>
  <c r="CV18" i="46"/>
  <c r="CU19" i="46"/>
  <c r="CJ19" i="46"/>
  <c r="CJ18" i="46" s="1"/>
  <c r="AU19" i="46"/>
  <c r="AF19" i="46" s="1"/>
  <c r="AG19" i="46"/>
  <c r="AE19" i="46"/>
  <c r="AD19" i="46" s="1"/>
  <c r="AC19" i="46"/>
  <c r="CY18" i="46"/>
  <c r="CY15" i="46" s="1"/>
  <c r="CX18" i="46"/>
  <c r="CW18" i="46"/>
  <c r="CS18" i="46"/>
  <c r="CR18" i="46"/>
  <c r="CQ18" i="46"/>
  <c r="CP18" i="46"/>
  <c r="CO18" i="46"/>
  <c r="CN18" i="46"/>
  <c r="CM18" i="46"/>
  <c r="CL18" i="46"/>
  <c r="CK18" i="46"/>
  <c r="CI18" i="46"/>
  <c r="CH18" i="46"/>
  <c r="CG18" i="46"/>
  <c r="CF18" i="46"/>
  <c r="CE18" i="46"/>
  <c r="CD18" i="46"/>
  <c r="CC18" i="46"/>
  <c r="CB18" i="46"/>
  <c r="CA18" i="46"/>
  <c r="BZ18" i="46"/>
  <c r="BY18" i="46"/>
  <c r="BX18" i="46"/>
  <c r="BW18" i="46"/>
  <c r="BV18" i="46"/>
  <c r="BU18" i="46"/>
  <c r="BT18" i="46"/>
  <c r="BS18" i="46"/>
  <c r="BR18" i="46"/>
  <c r="BQ18" i="46"/>
  <c r="BP18" i="46"/>
  <c r="BO18" i="46"/>
  <c r="CU17" i="46"/>
  <c r="CM17" i="46"/>
  <c r="CW17" i="46" s="1"/>
  <c r="CL17" i="46"/>
  <c r="CE17" i="46"/>
  <c r="BZ17" i="46"/>
  <c r="BF17" i="46"/>
  <c r="AU17" i="46"/>
  <c r="AP17" i="46"/>
  <c r="AL17" i="46"/>
  <c r="AG17" i="46"/>
  <c r="AE17" i="46" s="1"/>
  <c r="AD17" i="46" s="1"/>
  <c r="AC17" i="46" s="1"/>
  <c r="CW16" i="46"/>
  <c r="CU16" i="46"/>
  <c r="CM16" i="46"/>
  <c r="CM15" i="46" s="1"/>
  <c r="CM14" i="46"/>
  <c r="CM13" i="46" s="1"/>
  <c r="CM11" i="46" s="1"/>
  <c r="CL16" i="46"/>
  <c r="CL15" i="46" s="1"/>
  <c r="CL14" i="46" s="1"/>
  <c r="CL13" i="46" s="1"/>
  <c r="CL11" i="46" s="1"/>
  <c r="CJ16" i="46"/>
  <c r="CE16" i="46"/>
  <c r="CE15" i="46"/>
  <c r="CE14" i="46" s="1"/>
  <c r="CE13" i="46" s="1"/>
  <c r="CE11" i="46" s="1"/>
  <c r="BZ16" i="46"/>
  <c r="BZ15" i="46" s="1"/>
  <c r="BZ14" i="46" s="1"/>
  <c r="BZ13" i="46" s="1"/>
  <c r="BZ11" i="46" s="1"/>
  <c r="BF16" i="46"/>
  <c r="BF15" i="46"/>
  <c r="AU16" i="46"/>
  <c r="AP16" i="46"/>
  <c r="AG16" i="46"/>
  <c r="AE16" i="46"/>
  <c r="AD16" i="46" s="1"/>
  <c r="AC16" i="46" s="1"/>
  <c r="R16" i="46"/>
  <c r="DF15" i="46"/>
  <c r="DE15" i="46"/>
  <c r="DD15" i="46"/>
  <c r="DC15" i="46"/>
  <c r="DB15" i="46"/>
  <c r="DA15" i="46"/>
  <c r="CX15" i="46"/>
  <c r="CX14" i="46" s="1"/>
  <c r="CX13" i="46" s="1"/>
  <c r="CX11" i="46" s="1"/>
  <c r="CS15" i="46"/>
  <c r="CS14" i="46"/>
  <c r="CS13" i="46" s="1"/>
  <c r="CS11" i="46" s="1"/>
  <c r="CR15" i="46"/>
  <c r="CR14" i="46"/>
  <c r="CR13" i="46" s="1"/>
  <c r="CR11" i="46" s="1"/>
  <c r="CQ15" i="46"/>
  <c r="CQ14" i="46"/>
  <c r="CQ13" i="46" s="1"/>
  <c r="CQ11" i="46" s="1"/>
  <c r="CP15" i="46"/>
  <c r="CP14" i="46"/>
  <c r="CP13" i="46" s="1"/>
  <c r="CP11" i="46" s="1"/>
  <c r="CO15" i="46"/>
  <c r="CO14" i="46" s="1"/>
  <c r="CO13" i="46" s="1"/>
  <c r="CO11" i="46" s="1"/>
  <c r="CN15" i="46"/>
  <c r="CN14" i="46" s="1"/>
  <c r="CN13" i="46" s="1"/>
  <c r="CN11" i="46" s="1"/>
  <c r="CK15" i="46"/>
  <c r="CK14" i="46"/>
  <c r="CK13" i="46" s="1"/>
  <c r="CK11" i="46" s="1"/>
  <c r="CI15" i="46"/>
  <c r="CI14" i="46"/>
  <c r="CI13" i="46" s="1"/>
  <c r="CI11" i="46" s="1"/>
  <c r="CH15" i="46"/>
  <c r="CG15" i="46"/>
  <c r="CF15" i="46"/>
  <c r="CD15" i="46"/>
  <c r="CD14" i="46" s="1"/>
  <c r="CD13" i="46" s="1"/>
  <c r="CD11" i="46" s="1"/>
  <c r="CC15" i="46"/>
  <c r="CC14" i="46" s="1"/>
  <c r="CC13" i="46" s="1"/>
  <c r="CC11" i="46" s="1"/>
  <c r="CB15" i="46"/>
  <c r="CA15" i="46"/>
  <c r="CA14" i="46"/>
  <c r="CA13" i="46" s="1"/>
  <c r="CA11" i="46" s="1"/>
  <c r="BY15" i="46"/>
  <c r="BY14" i="46"/>
  <c r="BY13" i="46" s="1"/>
  <c r="BY11" i="46" s="1"/>
  <c r="BX15" i="46"/>
  <c r="BX14" i="46"/>
  <c r="BX13" i="46" s="1"/>
  <c r="BX11" i="46" s="1"/>
  <c r="BW15" i="46"/>
  <c r="BW14" i="46"/>
  <c r="BW13" i="46" s="1"/>
  <c r="BW11" i="46" s="1"/>
  <c r="BV15" i="46"/>
  <c r="BU15" i="46"/>
  <c r="BU14" i="46" s="1"/>
  <c r="BU13" i="46" s="1"/>
  <c r="BU11" i="46" s="1"/>
  <c r="BT15" i="46"/>
  <c r="BS15" i="46"/>
  <c r="BR15" i="46"/>
  <c r="BQ15" i="46"/>
  <c r="BP15" i="46"/>
  <c r="BP14" i="46" s="1"/>
  <c r="BP13" i="46" s="1"/>
  <c r="BP11" i="46" s="1"/>
  <c r="BO15" i="46"/>
  <c r="BO14" i="46" s="1"/>
  <c r="BO13" i="46" s="1"/>
  <c r="BN15" i="46"/>
  <c r="BN14" i="46" s="1"/>
  <c r="BN13" i="46" s="1"/>
  <c r="BJ15" i="46"/>
  <c r="BI15" i="46"/>
  <c r="BH15" i="46"/>
  <c r="BG15" i="46"/>
  <c r="BD15" i="46"/>
  <c r="BC15" i="46"/>
  <c r="BB15" i="46"/>
  <c r="AZ15" i="46"/>
  <c r="AY15" i="46"/>
  <c r="AX15" i="46"/>
  <c r="AW15" i="46"/>
  <c r="AV15" i="46"/>
  <c r="AT15" i="46"/>
  <c r="AS15" i="46"/>
  <c r="AR15" i="46"/>
  <c r="AQ15" i="46"/>
  <c r="AP15" i="46"/>
  <c r="AO15" i="46"/>
  <c r="AN15" i="46"/>
  <c r="AM15" i="46"/>
  <c r="AL15" i="46"/>
  <c r="AK15" i="46"/>
  <c r="AJ15" i="46"/>
  <c r="AI15" i="46"/>
  <c r="AH15" i="46"/>
  <c r="U15" i="46"/>
  <c r="T15" i="46"/>
  <c r="S15" i="46"/>
  <c r="R15" i="46"/>
  <c r="Q15" i="46"/>
  <c r="P15" i="46"/>
  <c r="O15" i="46"/>
  <c r="N15" i="46"/>
  <c r="M15" i="46"/>
  <c r="L15" i="46"/>
  <c r="K15" i="46"/>
  <c r="J15" i="46"/>
  <c r="I15" i="46"/>
  <c r="CY14" i="46"/>
  <c r="CY13" i="46" s="1"/>
  <c r="CY11" i="46" s="1"/>
  <c r="CH14" i="46"/>
  <c r="CH13" i="46"/>
  <c r="CH11" i="46" s="1"/>
  <c r="CG14" i="46"/>
  <c r="CF14" i="46"/>
  <c r="CF13" i="46"/>
  <c r="CF11" i="46" s="1"/>
  <c r="CB14" i="46"/>
  <c r="CB13" i="46" s="1"/>
  <c r="CB11" i="46" s="1"/>
  <c r="BV14" i="46"/>
  <c r="BV13" i="46"/>
  <c r="BV11" i="46" s="1"/>
  <c r="BT14" i="46"/>
  <c r="BT13" i="46" s="1"/>
  <c r="BT11" i="46" s="1"/>
  <c r="BR14" i="46"/>
  <c r="BR13" i="46"/>
  <c r="BR11" i="46" s="1"/>
  <c r="BQ14" i="46"/>
  <c r="BQ13" i="46" s="1"/>
  <c r="BQ11" i="46" s="1"/>
  <c r="BI14" i="46"/>
  <c r="BH14" i="46"/>
  <c r="BH13" i="46" s="1"/>
  <c r="BH11" i="46" s="1"/>
  <c r="BG14" i="46"/>
  <c r="BF14" i="46"/>
  <c r="BF13" i="46" s="1"/>
  <c r="BF11" i="46" s="1"/>
  <c r="BE14" i="46"/>
  <c r="BD14" i="46"/>
  <c r="BD13" i="46" s="1"/>
  <c r="BD11" i="46" s="1"/>
  <c r="BC14" i="46"/>
  <c r="BB14" i="46"/>
  <c r="BA14" i="46"/>
  <c r="AZ14" i="46"/>
  <c r="AZ13" i="46" s="1"/>
  <c r="AZ11" i="46" s="1"/>
  <c r="AY14" i="46"/>
  <c r="AX14" i="46"/>
  <c r="AX13" i="46" s="1"/>
  <c r="AX11" i="46" s="1"/>
  <c r="AW14" i="46"/>
  <c r="AW13" i="46"/>
  <c r="AW11" i="46" s="1"/>
  <c r="AV14" i="46"/>
  <c r="AV13" i="46" s="1"/>
  <c r="AV11" i="46" s="1"/>
  <c r="AU14" i="46"/>
  <c r="AU13" i="46"/>
  <c r="AU11" i="46" s="1"/>
  <c r="AT14" i="46"/>
  <c r="AS14" i="46"/>
  <c r="AR14" i="46"/>
  <c r="AR13" i="46" s="1"/>
  <c r="AR11" i="46" s="1"/>
  <c r="AQ14" i="46"/>
  <c r="AP14" i="46"/>
  <c r="AP13" i="46" s="1"/>
  <c r="AO14" i="46"/>
  <c r="AO13" i="46" s="1"/>
  <c r="AO11" i="46" s="1"/>
  <c r="AN14" i="46"/>
  <c r="AN13" i="46"/>
  <c r="AN11" i="46" s="1"/>
  <c r="AM14" i="46"/>
  <c r="AM13" i="46" s="1"/>
  <c r="AM11" i="46" s="1"/>
  <c r="AL14" i="46"/>
  <c r="AK14" i="46"/>
  <c r="AK13" i="46" s="1"/>
  <c r="AK11" i="46" s="1"/>
  <c r="AJ14" i="46"/>
  <c r="AJ13" i="46"/>
  <c r="AJ11" i="46" s="1"/>
  <c r="AI14" i="46"/>
  <c r="AH14" i="46"/>
  <c r="AH13" i="46"/>
  <c r="AH11" i="46" s="1"/>
  <c r="AG14" i="46"/>
  <c r="U14" i="46"/>
  <c r="U13" i="46"/>
  <c r="T14" i="46"/>
  <c r="S14" i="46"/>
  <c r="S13" i="46" s="1"/>
  <c r="R14" i="46"/>
  <c r="Q14" i="46"/>
  <c r="Q13" i="46"/>
  <c r="P14" i="46"/>
  <c r="P13" i="46"/>
  <c r="O14" i="46"/>
  <c r="O13" i="46" s="1"/>
  <c r="N14" i="46"/>
  <c r="N13" i="46" s="1"/>
  <c r="M14" i="46"/>
  <c r="M13" i="46" s="1"/>
  <c r="L14" i="46"/>
  <c r="K14" i="46"/>
  <c r="K13" i="46"/>
  <c r="J14" i="46"/>
  <c r="I14" i="46"/>
  <c r="I13" i="46" s="1"/>
  <c r="H14" i="46"/>
  <c r="H13" i="46" s="1"/>
  <c r="CG13" i="46"/>
  <c r="CG11" i="46"/>
  <c r="BI13" i="46"/>
  <c r="BI11" i="46"/>
  <c r="BG13" i="46"/>
  <c r="BG11" i="46"/>
  <c r="BE13" i="46"/>
  <c r="BE11" i="46"/>
  <c r="BC13" i="46"/>
  <c r="BC11" i="46"/>
  <c r="BB13" i="46"/>
  <c r="BA13" i="46"/>
  <c r="BA11" i="46" s="1"/>
  <c r="AY13" i="46"/>
  <c r="AY11" i="46" s="1"/>
  <c r="AT13" i="46"/>
  <c r="AS13" i="46"/>
  <c r="AS11" i="46" s="1"/>
  <c r="AQ13" i="46"/>
  <c r="AQ11" i="46" s="1"/>
  <c r="AL13" i="46"/>
  <c r="AL11" i="46"/>
  <c r="AI13" i="46"/>
  <c r="AI11" i="46"/>
  <c r="AG13" i="46"/>
  <c r="AG11" i="46"/>
  <c r="T13" i="46"/>
  <c r="R13" i="46"/>
  <c r="L13" i="46"/>
  <c r="J13" i="46"/>
  <c r="CT12" i="46"/>
  <c r="AF12" i="46"/>
  <c r="BB11" i="46"/>
  <c r="AT11" i="46"/>
  <c r="K22" i="35"/>
  <c r="E66" i="70"/>
  <c r="C14" i="70"/>
  <c r="C40" i="70"/>
  <c r="J13" i="70"/>
  <c r="L13" i="70"/>
  <c r="C64" i="70"/>
  <c r="C30" i="70"/>
  <c r="H50" i="70"/>
  <c r="G50" i="70" s="1"/>
  <c r="P12" i="70"/>
  <c r="P11" i="70" s="1"/>
  <c r="C23" i="70"/>
  <c r="C50" i="70"/>
  <c r="C79" i="70"/>
  <c r="C29" i="70"/>
  <c r="C46" i="70"/>
  <c r="O79" i="70"/>
  <c r="H79" i="70" s="1"/>
  <c r="G79" i="70" s="1"/>
  <c r="C42" i="70"/>
  <c r="C77" i="70"/>
  <c r="O21" i="70"/>
  <c r="H39" i="70"/>
  <c r="G39" i="70" s="1"/>
  <c r="C71" i="70"/>
  <c r="C18" i="70"/>
  <c r="C56" i="70"/>
  <c r="O72" i="70"/>
  <c r="N66" i="70"/>
  <c r="O27" i="70"/>
  <c r="O30" i="70"/>
  <c r="H30" i="70" s="1"/>
  <c r="G30" i="70" s="1"/>
  <c r="O70" i="70"/>
  <c r="O14" i="70"/>
  <c r="H14" i="70" s="1"/>
  <c r="G14" i="70" s="1"/>
  <c r="C47" i="70"/>
  <c r="Q66" i="70"/>
  <c r="O28" i="70"/>
  <c r="H28" i="70" s="1"/>
  <c r="G28" i="70" s="1"/>
  <c r="C52" i="70"/>
  <c r="C74" i="70"/>
  <c r="D31" i="70"/>
  <c r="O29" i="70"/>
  <c r="H29" i="70" s="1"/>
  <c r="G29" i="70" s="1"/>
  <c r="C45" i="70"/>
  <c r="O78" i="70"/>
  <c r="H78" i="70" s="1"/>
  <c r="G78" i="70" s="1"/>
  <c r="D12" i="41"/>
  <c r="J31" i="70"/>
  <c r="M66" i="70"/>
  <c r="O19" i="70"/>
  <c r="H19" i="70" s="1"/>
  <c r="G19" i="70" s="1"/>
  <c r="E31" i="70"/>
  <c r="L66" i="70"/>
  <c r="C15" i="70"/>
  <c r="I31" i="70"/>
  <c r="I66" i="70"/>
  <c r="I12" i="70" s="1"/>
  <c r="I11" i="70" s="1"/>
  <c r="Q31" i="70"/>
  <c r="L31" i="70"/>
  <c r="L12" i="70" s="1"/>
  <c r="L11" i="70" s="1"/>
  <c r="D66" i="70"/>
  <c r="M13" i="70"/>
  <c r="H44" i="70"/>
  <c r="G44" i="70" s="1"/>
  <c r="H70" i="70"/>
  <c r="G70" i="70" s="1"/>
  <c r="C67" i="70"/>
  <c r="M31" i="70"/>
  <c r="M12" i="70" s="1"/>
  <c r="M11" i="70" s="1"/>
  <c r="F19" i="35"/>
  <c r="F18" i="35" s="1"/>
  <c r="G18" i="35"/>
  <c r="I37" i="35"/>
  <c r="J45" i="35"/>
  <c r="J46" i="35"/>
  <c r="J47" i="35"/>
  <c r="J48" i="35"/>
  <c r="I49" i="35"/>
  <c r="J53" i="35"/>
  <c r="I54" i="35"/>
  <c r="J37" i="35"/>
  <c r="I65" i="35"/>
  <c r="I25" i="35"/>
  <c r="G25" i="35" s="1"/>
  <c r="F25" i="35" s="1"/>
  <c r="I48" i="35"/>
  <c r="G48" i="35" s="1"/>
  <c r="F48" i="35" s="1"/>
  <c r="M32" i="35"/>
  <c r="M31" i="35" s="1"/>
  <c r="M45" i="35"/>
  <c r="H50" i="35"/>
  <c r="N51" i="35"/>
  <c r="M53" i="35"/>
  <c r="J64" i="35"/>
  <c r="J63" i="35" s="1"/>
  <c r="I24" i="35"/>
  <c r="I23" i="35" s="1"/>
  <c r="I32" i="35"/>
  <c r="I31" i="35" s="1"/>
  <c r="I45" i="35"/>
  <c r="H23" i="35"/>
  <c r="H31" i="35"/>
  <c r="M49" i="35"/>
  <c r="M54" i="35"/>
  <c r="G54" i="35" s="1"/>
  <c r="F54" i="35" s="1"/>
  <c r="H56" i="35"/>
  <c r="I46" i="35"/>
  <c r="G46" i="35" s="1"/>
  <c r="F46" i="35" s="1"/>
  <c r="I56" i="35"/>
  <c r="I47" i="35"/>
  <c r="G47" i="35" s="1"/>
  <c r="F47" i="35" s="1"/>
  <c r="I53" i="35"/>
  <c r="AF14" i="46"/>
  <c r="BS14" i="46"/>
  <c r="BS13" i="46" s="1"/>
  <c r="BS11" i="46" s="1"/>
  <c r="CT21" i="46"/>
  <c r="K7" i="72"/>
  <c r="I10" i="72"/>
  <c r="N10" i="72" s="1"/>
  <c r="P10" i="72" s="1"/>
  <c r="D16" i="72"/>
  <c r="I17" i="72"/>
  <c r="CW15" i="46"/>
  <c r="CW14" i="46"/>
  <c r="CW13" i="46" s="1"/>
  <c r="CW11" i="46" s="1"/>
  <c r="AF22" i="46"/>
  <c r="AF17" i="46"/>
  <c r="CV17" i="46"/>
  <c r="CT17" i="46" s="1"/>
  <c r="AE25" i="46"/>
  <c r="AD25" i="46" s="1"/>
  <c r="AC25" i="46" s="1"/>
  <c r="M7" i="72"/>
  <c r="H7" i="72"/>
  <c r="I21" i="72"/>
  <c r="N21" i="72"/>
  <c r="P21" i="72" s="1"/>
  <c r="AG15" i="46"/>
  <c r="AF15" i="46" s="1"/>
  <c r="AF16" i="46"/>
  <c r="CU18" i="46"/>
  <c r="CT19" i="46"/>
  <c r="CT18" i="46" s="1"/>
  <c r="H15" i="46"/>
  <c r="AF24" i="46"/>
  <c r="F16" i="72"/>
  <c r="N23" i="72"/>
  <c r="P23" i="72" s="1"/>
  <c r="AE14" i="46"/>
  <c r="AD14" i="46" s="1"/>
  <c r="AC14" i="46" s="1"/>
  <c r="AE21" i="46"/>
  <c r="AD21" i="46"/>
  <c r="AC21" i="46" s="1"/>
  <c r="AF23" i="46"/>
  <c r="N12" i="72"/>
  <c r="P12" i="72"/>
  <c r="I18" i="72"/>
  <c r="N18" i="72"/>
  <c r="P18" i="72" s="1"/>
  <c r="O16" i="72"/>
  <c r="F7" i="72"/>
  <c r="N17" i="72"/>
  <c r="I16" i="72"/>
  <c r="J16" i="72"/>
  <c r="G16" i="72"/>
  <c r="G9" i="72"/>
  <c r="AI19" i="71"/>
  <c r="AI18" i="71" s="1"/>
  <c r="AI14" i="71" s="1"/>
  <c r="AI12" i="71" s="1"/>
  <c r="AJ18" i="71"/>
  <c r="AJ14" i="71" s="1"/>
  <c r="AJ12" i="71" s="1"/>
  <c r="AL12" i="71" s="1"/>
  <c r="O18" i="71"/>
  <c r="O14" i="71" s="1"/>
  <c r="O12" i="71" s="1"/>
  <c r="AU15" i="46"/>
  <c r="AE20" i="46"/>
  <c r="AD20" i="46"/>
  <c r="AC20" i="46" s="1"/>
  <c r="CU15" i="46"/>
  <c r="CU14" i="46" s="1"/>
  <c r="CU13" i="46" s="1"/>
  <c r="CU11" i="46" s="1"/>
  <c r="Q12" i="70"/>
  <c r="Q11" i="70" s="1"/>
  <c r="N12" i="70"/>
  <c r="N11" i="70" s="1"/>
  <c r="I64" i="35"/>
  <c r="I63" i="35" s="1"/>
  <c r="G65" i="35"/>
  <c r="F65" i="35" s="1"/>
  <c r="H22" i="35"/>
  <c r="G37" i="35"/>
  <c r="F37" i="35" s="1"/>
  <c r="P23" i="37" s="1"/>
  <c r="C23" i="37" s="1"/>
  <c r="G24" i="35"/>
  <c r="AE15" i="46"/>
  <c r="AD15" i="46" s="1"/>
  <c r="AC15" i="46" s="1"/>
  <c r="P17" i="72"/>
  <c r="I9" i="72"/>
  <c r="G8" i="72"/>
  <c r="G7" i="72"/>
  <c r="F24" i="35"/>
  <c r="I8" i="72"/>
  <c r="I7" i="72" s="1"/>
  <c r="C33" i="68"/>
  <c r="C52" i="68"/>
  <c r="D38" i="16"/>
  <c r="E37" i="16"/>
  <c r="D37" i="16"/>
  <c r="H37" i="16"/>
  <c r="C37" i="16"/>
  <c r="D33" i="16"/>
  <c r="C33" i="16"/>
  <c r="C10" i="16"/>
  <c r="C9" i="16" s="1"/>
  <c r="G32" i="16"/>
  <c r="F32" i="16"/>
  <c r="H32" i="16"/>
  <c r="D32" i="16"/>
  <c r="G24" i="16"/>
  <c r="F24" i="16"/>
  <c r="D24" i="16"/>
  <c r="H24" i="16" s="1"/>
  <c r="G23" i="16"/>
  <c r="F23" i="16"/>
  <c r="H23" i="16"/>
  <c r="D23" i="16"/>
  <c r="G19" i="16"/>
  <c r="F19" i="16"/>
  <c r="D19" i="16"/>
  <c r="H19" i="16" s="1"/>
  <c r="G17" i="16"/>
  <c r="F17" i="16"/>
  <c r="D17" i="16"/>
  <c r="E10" i="16"/>
  <c r="E9" i="16"/>
  <c r="E30" i="15"/>
  <c r="E28" i="15"/>
  <c r="F28" i="15" s="1"/>
  <c r="C30" i="15"/>
  <c r="F29" i="15"/>
  <c r="C28" i="15"/>
  <c r="E27" i="15"/>
  <c r="F27" i="15"/>
  <c r="E26" i="15"/>
  <c r="F26" i="15"/>
  <c r="G25" i="15"/>
  <c r="F25" i="15"/>
  <c r="F24" i="15"/>
  <c r="E23" i="15"/>
  <c r="G23" i="15" s="1"/>
  <c r="D23" i="15"/>
  <c r="D21" i="15" s="1"/>
  <c r="E22" i="15"/>
  <c r="G22" i="15"/>
  <c r="C21" i="15"/>
  <c r="C20" i="15"/>
  <c r="G19" i="15"/>
  <c r="F19" i="15"/>
  <c r="G18" i="15"/>
  <c r="F18" i="15"/>
  <c r="F17" i="15"/>
  <c r="G16" i="15"/>
  <c r="F16" i="15"/>
  <c r="E15" i="15"/>
  <c r="E14" i="15" s="1"/>
  <c r="D14" i="15"/>
  <c r="C14" i="15"/>
  <c r="F13" i="15"/>
  <c r="E12" i="15"/>
  <c r="E11" i="15"/>
  <c r="D12" i="15"/>
  <c r="D11" i="15"/>
  <c r="C11" i="15"/>
  <c r="D34" i="14"/>
  <c r="C34" i="14"/>
  <c r="C33" i="14"/>
  <c r="C30" i="14" s="1"/>
  <c r="E32" i="14"/>
  <c r="D31" i="14"/>
  <c r="E31" i="14"/>
  <c r="D29" i="14"/>
  <c r="E29" i="14" s="1"/>
  <c r="F28" i="14"/>
  <c r="E28" i="14"/>
  <c r="E27" i="14"/>
  <c r="E26" i="14"/>
  <c r="F25" i="14"/>
  <c r="E25" i="14"/>
  <c r="F24" i="14"/>
  <c r="E24" i="14"/>
  <c r="E23" i="14"/>
  <c r="F22" i="14"/>
  <c r="E22" i="14"/>
  <c r="F21" i="14"/>
  <c r="E21" i="14"/>
  <c r="E20" i="14"/>
  <c r="E19" i="14"/>
  <c r="E18" i="14"/>
  <c r="E16" i="14"/>
  <c r="E15" i="14"/>
  <c r="F13" i="14"/>
  <c r="E13" i="14"/>
  <c r="E12" i="14"/>
  <c r="D12" i="14"/>
  <c r="C12" i="14"/>
  <c r="C11" i="14" s="1"/>
  <c r="H38" i="12"/>
  <c r="E38" i="12"/>
  <c r="E11" i="12" s="1"/>
  <c r="G11" i="12" s="1"/>
  <c r="C38" i="12"/>
  <c r="G38" i="12"/>
  <c r="G33" i="12"/>
  <c r="F33" i="12"/>
  <c r="H33" i="12" s="1"/>
  <c r="D33" i="12"/>
  <c r="G25" i="12"/>
  <c r="F25" i="12"/>
  <c r="H25" i="12" s="1"/>
  <c r="D25" i="12"/>
  <c r="G24" i="12"/>
  <c r="F24" i="12"/>
  <c r="F11" i="12" s="1"/>
  <c r="H11" i="12" s="1"/>
  <c r="D24" i="12"/>
  <c r="D11" i="12" s="1"/>
  <c r="G20" i="12"/>
  <c r="F20" i="12"/>
  <c r="H20" i="12" s="1"/>
  <c r="D20" i="12"/>
  <c r="G18" i="12"/>
  <c r="F18" i="12"/>
  <c r="H18" i="12" s="1"/>
  <c r="D18" i="12"/>
  <c r="C11" i="12"/>
  <c r="D29" i="11"/>
  <c r="F29" i="11" s="1"/>
  <c r="E28" i="11"/>
  <c r="C27" i="11"/>
  <c r="D26" i="11"/>
  <c r="E26" i="11" s="1"/>
  <c r="F25" i="11"/>
  <c r="E25" i="11"/>
  <c r="E24" i="11"/>
  <c r="E23" i="11"/>
  <c r="F22" i="11"/>
  <c r="E22" i="11"/>
  <c r="F21" i="11"/>
  <c r="E21" i="11"/>
  <c r="C20" i="11"/>
  <c r="C19" i="11"/>
  <c r="F15" i="11"/>
  <c r="E15" i="11"/>
  <c r="F14" i="11"/>
  <c r="E14" i="11"/>
  <c r="E13" i="11" s="1"/>
  <c r="D13" i="11"/>
  <c r="F13" i="11" s="1"/>
  <c r="C13" i="11"/>
  <c r="E12" i="11"/>
  <c r="C11" i="11"/>
  <c r="C10" i="11" s="1"/>
  <c r="D10" i="11"/>
  <c r="F10" i="16"/>
  <c r="F9" i="16" s="1"/>
  <c r="H9" i="16" s="1"/>
  <c r="H24" i="12"/>
  <c r="D10" i="16"/>
  <c r="D9" i="16"/>
  <c r="F34" i="14"/>
  <c r="H17" i="16"/>
  <c r="C10" i="15"/>
  <c r="D10" i="15"/>
  <c r="G37" i="16"/>
  <c r="D9" i="11"/>
  <c r="D11" i="14"/>
  <c r="G9" i="16"/>
  <c r="G10" i="16"/>
  <c r="H10" i="16"/>
  <c r="F11" i="15"/>
  <c r="G11" i="15"/>
  <c r="F30" i="15"/>
  <c r="G12" i="15"/>
  <c r="F15" i="15"/>
  <c r="E21" i="15"/>
  <c r="F23" i="15"/>
  <c r="G15" i="15"/>
  <c r="F12" i="15"/>
  <c r="F22" i="15"/>
  <c r="D33" i="14"/>
  <c r="F33" i="14" s="1"/>
  <c r="F12" i="14"/>
  <c r="D30" i="14"/>
  <c r="F30" i="14" s="1"/>
  <c r="E34" i="14"/>
  <c r="E11" i="11"/>
  <c r="E10" i="11"/>
  <c r="D20" i="11"/>
  <c r="F11" i="11"/>
  <c r="E29" i="11"/>
  <c r="E27" i="11" s="1"/>
  <c r="E20" i="15"/>
  <c r="E33" i="14"/>
  <c r="E30" i="14" s="1"/>
  <c r="D10" i="14"/>
  <c r="F20" i="11"/>
  <c r="C56" i="68"/>
  <c r="C29" i="68"/>
  <c r="C66" i="68"/>
  <c r="C38" i="68"/>
  <c r="N12" i="32"/>
  <c r="N11" i="39"/>
  <c r="C22" i="68" s="1"/>
  <c r="L12" i="39"/>
  <c r="E27" i="39"/>
  <c r="E26" i="39"/>
  <c r="E25" i="39"/>
  <c r="E24" i="39"/>
  <c r="E23" i="39"/>
  <c r="E22" i="39"/>
  <c r="E21" i="39"/>
  <c r="E20" i="39"/>
  <c r="E19" i="39"/>
  <c r="E18" i="39"/>
  <c r="E17" i="39"/>
  <c r="E16" i="39"/>
  <c r="E15" i="39"/>
  <c r="E14" i="39"/>
  <c r="E13" i="39"/>
  <c r="D41" i="33"/>
  <c r="C41" i="33" s="1"/>
  <c r="C24" i="33"/>
  <c r="D13" i="33"/>
  <c r="M13" i="37"/>
  <c r="O12" i="37"/>
  <c r="H12" i="20"/>
  <c r="D12" i="20"/>
  <c r="M14" i="37"/>
  <c r="C41" i="68"/>
  <c r="L21" i="37"/>
  <c r="G29" i="37"/>
  <c r="C29" i="37" s="1"/>
  <c r="D31" i="33"/>
  <c r="C31" i="33" s="1"/>
  <c r="R32" i="37"/>
  <c r="C32" i="37" s="1"/>
  <c r="F28" i="37"/>
  <c r="D18" i="37"/>
  <c r="P25" i="37"/>
  <c r="P24" i="37"/>
  <c r="R30" i="37"/>
  <c r="C30" i="37" s="1"/>
  <c r="R31" i="37"/>
  <c r="D13" i="69"/>
  <c r="E13" i="69"/>
  <c r="F13" i="69" s="1"/>
  <c r="G13" i="69" s="1"/>
  <c r="H13" i="69" s="1"/>
  <c r="I13" i="69" s="1"/>
  <c r="J13" i="69" s="1"/>
  <c r="K13" i="69" s="1"/>
  <c r="L13" i="69" s="1"/>
  <c r="M13" i="69" s="1"/>
  <c r="N13" i="69" s="1"/>
  <c r="O13" i="69" s="1"/>
  <c r="P13" i="69" s="1"/>
  <c r="Q13" i="69" s="1"/>
  <c r="R13" i="69" s="1"/>
  <c r="S13" i="69" s="1"/>
  <c r="T13" i="69" s="1"/>
  <c r="U13" i="69" s="1"/>
  <c r="H15" i="69"/>
  <c r="I15" i="69"/>
  <c r="J15" i="69"/>
  <c r="K15" i="69"/>
  <c r="L15" i="69"/>
  <c r="M15" i="69"/>
  <c r="N15" i="69"/>
  <c r="O15" i="69"/>
  <c r="P15" i="69"/>
  <c r="Q15" i="69"/>
  <c r="R15" i="69"/>
  <c r="S15" i="69"/>
  <c r="T15" i="69"/>
  <c r="U15" i="69"/>
  <c r="D29" i="17"/>
  <c r="C27" i="17"/>
  <c r="D25" i="17"/>
  <c r="C25" i="17"/>
  <c r="C26" i="17"/>
  <c r="C22" i="17"/>
  <c r="C31" i="17"/>
  <c r="C20" i="17"/>
  <c r="D26" i="17"/>
  <c r="C29" i="17"/>
  <c r="D36" i="33"/>
  <c r="D35" i="33" s="1"/>
  <c r="C37" i="33"/>
  <c r="C38" i="33"/>
  <c r="C36" i="33"/>
  <c r="C35" i="33" s="1"/>
  <c r="D31" i="17"/>
  <c r="H26" i="19"/>
  <c r="F36" i="19"/>
  <c r="E36" i="19"/>
  <c r="F35" i="19"/>
  <c r="E35" i="19"/>
  <c r="D34" i="19"/>
  <c r="C34" i="19"/>
  <c r="C32" i="19"/>
  <c r="F33" i="19"/>
  <c r="E33" i="19"/>
  <c r="D29" i="19"/>
  <c r="E29" i="19"/>
  <c r="D28" i="19"/>
  <c r="F28" i="19"/>
  <c r="C27" i="19"/>
  <c r="C25" i="19"/>
  <c r="G26" i="19" s="1"/>
  <c r="D26" i="19"/>
  <c r="F26" i="19" s="1"/>
  <c r="F34" i="19"/>
  <c r="D32" i="19"/>
  <c r="E34" i="19"/>
  <c r="D27" i="19"/>
  <c r="D25" i="19"/>
  <c r="E28" i="19"/>
  <c r="F29" i="19"/>
  <c r="E26" i="19"/>
  <c r="F27" i="19"/>
  <c r="E27" i="19"/>
  <c r="D27" i="37"/>
  <c r="E27" i="37"/>
  <c r="H27" i="37"/>
  <c r="I27" i="37"/>
  <c r="J27" i="37"/>
  <c r="K27" i="37"/>
  <c r="L27" i="37"/>
  <c r="M27" i="37"/>
  <c r="N27" i="37"/>
  <c r="O27" i="37"/>
  <c r="P27" i="37"/>
  <c r="Q27" i="37"/>
  <c r="R27" i="37"/>
  <c r="D22" i="37"/>
  <c r="E22" i="37"/>
  <c r="F22" i="37"/>
  <c r="G22" i="37"/>
  <c r="H22" i="37"/>
  <c r="I22" i="37"/>
  <c r="J22" i="37"/>
  <c r="K22" i="37"/>
  <c r="L22" i="37"/>
  <c r="M22" i="37"/>
  <c r="N22" i="37"/>
  <c r="O22" i="37"/>
  <c r="Q22" i="37"/>
  <c r="R22" i="37"/>
  <c r="E15" i="37"/>
  <c r="F15" i="37"/>
  <c r="G15" i="37"/>
  <c r="J15" i="37"/>
  <c r="L15" i="37"/>
  <c r="M15" i="37"/>
  <c r="N15" i="37"/>
  <c r="O15" i="37"/>
  <c r="P15" i="37"/>
  <c r="R15" i="37"/>
  <c r="D11" i="37"/>
  <c r="E11" i="37"/>
  <c r="F11" i="37"/>
  <c r="G11" i="37"/>
  <c r="H11" i="37"/>
  <c r="I11" i="37"/>
  <c r="J11" i="37"/>
  <c r="K11" i="37"/>
  <c r="L11" i="37"/>
  <c r="N11" i="37"/>
  <c r="P11" i="37"/>
  <c r="Q11" i="37"/>
  <c r="R11" i="37"/>
  <c r="E9" i="38"/>
  <c r="H9" i="38"/>
  <c r="I9" i="38"/>
  <c r="J9" i="38"/>
  <c r="K9" i="38"/>
  <c r="L9" i="38"/>
  <c r="O9" i="38"/>
  <c r="P9" i="38"/>
  <c r="R9" i="38"/>
  <c r="N10" i="38"/>
  <c r="M10" i="38" s="1"/>
  <c r="Q10" i="38"/>
  <c r="Q9" i="38" s="1"/>
  <c r="G10" i="38"/>
  <c r="G9" i="38" s="1"/>
  <c r="N10" i="37"/>
  <c r="D33" i="37"/>
  <c r="N9" i="38"/>
  <c r="F10" i="38"/>
  <c r="F9" i="38"/>
  <c r="D33" i="21"/>
  <c r="C33" i="21"/>
  <c r="D32" i="21"/>
  <c r="C32" i="21"/>
  <c r="D31" i="21"/>
  <c r="C31" i="21"/>
  <c r="D30" i="21"/>
  <c r="C30" i="21"/>
  <c r="D29" i="21"/>
  <c r="C29" i="21" s="1"/>
  <c r="D28" i="21"/>
  <c r="C28" i="21" s="1"/>
  <c r="D27" i="21"/>
  <c r="C27" i="21" s="1"/>
  <c r="D26" i="21"/>
  <c r="C26" i="21" s="1"/>
  <c r="D25" i="21"/>
  <c r="C25" i="21" s="1"/>
  <c r="D24" i="21"/>
  <c r="C24" i="21" s="1"/>
  <c r="D23" i="21"/>
  <c r="C23" i="21" s="1"/>
  <c r="D22" i="21"/>
  <c r="C22" i="21" s="1"/>
  <c r="D21" i="21"/>
  <c r="C21" i="21" s="1"/>
  <c r="D20" i="21"/>
  <c r="C20" i="21" s="1"/>
  <c r="D19" i="21"/>
  <c r="C19" i="21" s="1"/>
  <c r="A19" i="21"/>
  <c r="A20" i="21" s="1"/>
  <c r="A21" i="21" s="1"/>
  <c r="A22" i="21" s="1"/>
  <c r="A23" i="21" s="1"/>
  <c r="A24" i="21" s="1"/>
  <c r="A25" i="21" s="1"/>
  <c r="A26" i="21" s="1"/>
  <c r="A27" i="21" s="1"/>
  <c r="A28" i="21" s="1"/>
  <c r="A29" i="21" s="1"/>
  <c r="A30" i="21" s="1"/>
  <c r="A31" i="21" s="1"/>
  <c r="A32" i="21" s="1"/>
  <c r="A33" i="21" s="1"/>
  <c r="K17" i="21"/>
  <c r="D18" i="21"/>
  <c r="I17" i="21"/>
  <c r="H17" i="21"/>
  <c r="G17" i="21"/>
  <c r="F17" i="21"/>
  <c r="E17" i="21"/>
  <c r="L27" i="20"/>
  <c r="L26" i="20"/>
  <c r="L25" i="20"/>
  <c r="L24" i="20"/>
  <c r="L23" i="20"/>
  <c r="L22" i="20"/>
  <c r="L21" i="20"/>
  <c r="L20" i="20"/>
  <c r="L19" i="20"/>
  <c r="L18" i="20"/>
  <c r="L17" i="20"/>
  <c r="L16" i="20"/>
  <c r="L15" i="20"/>
  <c r="L14" i="20"/>
  <c r="L13" i="20"/>
  <c r="L12" i="20"/>
  <c r="G27" i="20"/>
  <c r="G26" i="20"/>
  <c r="G25" i="20"/>
  <c r="G24" i="20"/>
  <c r="G23" i="20"/>
  <c r="G22" i="20"/>
  <c r="G21" i="20"/>
  <c r="G20" i="20"/>
  <c r="G19" i="20"/>
  <c r="G18" i="20"/>
  <c r="G17" i="20"/>
  <c r="G16" i="20"/>
  <c r="G15" i="20"/>
  <c r="G14" i="20"/>
  <c r="G13" i="20"/>
  <c r="G12" i="20"/>
  <c r="J11" i="20"/>
  <c r="I11" i="20"/>
  <c r="H11" i="20"/>
  <c r="F11" i="20"/>
  <c r="E11" i="20"/>
  <c r="D11" i="20"/>
  <c r="C27" i="20"/>
  <c r="C26" i="20"/>
  <c r="C25" i="20"/>
  <c r="C24" i="20"/>
  <c r="C23" i="20"/>
  <c r="C22" i="20"/>
  <c r="C21" i="20"/>
  <c r="C20" i="20"/>
  <c r="C19" i="20"/>
  <c r="C18" i="20"/>
  <c r="C17" i="20"/>
  <c r="C16" i="20"/>
  <c r="C15" i="20"/>
  <c r="C14" i="20"/>
  <c r="C13" i="20"/>
  <c r="C12" i="20"/>
  <c r="L11" i="20"/>
  <c r="K12" i="20"/>
  <c r="K25" i="20"/>
  <c r="K24" i="20"/>
  <c r="K21" i="20"/>
  <c r="K20" i="20"/>
  <c r="K17" i="20"/>
  <c r="K16" i="20"/>
  <c r="K13" i="20"/>
  <c r="C11" i="20"/>
  <c r="K14" i="20"/>
  <c r="K18" i="20"/>
  <c r="K22" i="20"/>
  <c r="K26" i="20"/>
  <c r="D17" i="21"/>
  <c r="K15" i="20"/>
  <c r="K19" i="20"/>
  <c r="K23" i="20"/>
  <c r="K27" i="20"/>
  <c r="J17" i="21"/>
  <c r="G11" i="20"/>
  <c r="C18" i="21"/>
  <c r="C26" i="33"/>
  <c r="P11" i="39"/>
  <c r="O11" i="39"/>
  <c r="C13" i="37"/>
  <c r="L27" i="39"/>
  <c r="I27" i="39"/>
  <c r="L26" i="39"/>
  <c r="I26" i="39"/>
  <c r="L25" i="39"/>
  <c r="I25" i="39"/>
  <c r="L24" i="39"/>
  <c r="I24" i="39"/>
  <c r="L23" i="39"/>
  <c r="I23" i="39"/>
  <c r="L22" i="39"/>
  <c r="I22" i="39"/>
  <c r="L21" i="39"/>
  <c r="I21" i="39"/>
  <c r="L20" i="39"/>
  <c r="I20" i="39"/>
  <c r="L19" i="39"/>
  <c r="I19" i="39"/>
  <c r="L18" i="39"/>
  <c r="I18" i="39"/>
  <c r="L17" i="39"/>
  <c r="I17" i="39"/>
  <c r="L16" i="39"/>
  <c r="I16" i="39"/>
  <c r="L15" i="39"/>
  <c r="I15" i="39"/>
  <c r="L14" i="39"/>
  <c r="I14" i="39"/>
  <c r="L13" i="39"/>
  <c r="I13" i="39"/>
  <c r="K11" i="39"/>
  <c r="F29" i="17"/>
  <c r="D28" i="17"/>
  <c r="C28" i="17"/>
  <c r="E25" i="17"/>
  <c r="E24" i="17"/>
  <c r="F23" i="17"/>
  <c r="E23" i="17"/>
  <c r="E21" i="17"/>
  <c r="E18" i="17"/>
  <c r="F11" i="17"/>
  <c r="E11" i="17"/>
  <c r="E10" i="17" s="1"/>
  <c r="E9" i="17" s="1"/>
  <c r="E8" i="17" s="1"/>
  <c r="D10" i="17"/>
  <c r="C10" i="17"/>
  <c r="K11" i="20"/>
  <c r="C9" i="17"/>
  <c r="C8" i="17"/>
  <c r="E29" i="17"/>
  <c r="F10" i="17"/>
  <c r="F26" i="17"/>
  <c r="F28" i="17"/>
  <c r="E26" i="17"/>
  <c r="I11" i="39"/>
  <c r="E31" i="17"/>
  <c r="F31" i="17"/>
  <c r="E28" i="17"/>
  <c r="Q15" i="37"/>
  <c r="C21" i="37"/>
  <c r="L10" i="37"/>
  <c r="C24" i="37"/>
  <c r="G27" i="37"/>
  <c r="G10" i="37" s="1"/>
  <c r="C25" i="37"/>
  <c r="E39" i="33"/>
  <c r="E34" i="33" s="1"/>
  <c r="C42" i="33"/>
  <c r="D12" i="33"/>
  <c r="C13" i="33"/>
  <c r="C12" i="33" s="1"/>
  <c r="H11" i="32"/>
  <c r="H12" i="39" s="1"/>
  <c r="H11" i="39" s="1"/>
  <c r="K11" i="32"/>
  <c r="J30" i="32"/>
  <c r="D30" i="32" s="1"/>
  <c r="C30" i="32" s="1"/>
  <c r="J29" i="32"/>
  <c r="D29" i="32" s="1"/>
  <c r="C29" i="32" s="1"/>
  <c r="J28" i="32"/>
  <c r="D28" i="32" s="1"/>
  <c r="C28" i="32" s="1"/>
  <c r="J27" i="32"/>
  <c r="D27" i="32" s="1"/>
  <c r="C27" i="32" s="1"/>
  <c r="J26" i="32"/>
  <c r="D26" i="32" s="1"/>
  <c r="C26" i="32" s="1"/>
  <c r="J25" i="32"/>
  <c r="D25" i="32" s="1"/>
  <c r="C25" i="32" s="1"/>
  <c r="J24" i="32"/>
  <c r="D24" i="32" s="1"/>
  <c r="C24" i="32" s="1"/>
  <c r="J23" i="32"/>
  <c r="D23" i="32" s="1"/>
  <c r="C23" i="32" s="1"/>
  <c r="J22" i="32"/>
  <c r="D22" i="32" s="1"/>
  <c r="C22" i="32" s="1"/>
  <c r="J21" i="32"/>
  <c r="D21" i="32" s="1"/>
  <c r="C21" i="32" s="1"/>
  <c r="J20" i="32"/>
  <c r="D20" i="32" s="1"/>
  <c r="C20" i="32" s="1"/>
  <c r="J19" i="32"/>
  <c r="D19" i="32" s="1"/>
  <c r="C19" i="32" s="1"/>
  <c r="J18" i="32"/>
  <c r="D18" i="32" s="1"/>
  <c r="C18" i="32" s="1"/>
  <c r="J17" i="32"/>
  <c r="D17" i="32" s="1"/>
  <c r="C17" i="32" s="1"/>
  <c r="J16" i="32"/>
  <c r="D16" i="32" s="1"/>
  <c r="C16" i="32" s="1"/>
  <c r="J15" i="32"/>
  <c r="D15" i="32" s="1"/>
  <c r="C15" i="32" s="1"/>
  <c r="J14" i="32"/>
  <c r="D14" i="32" s="1"/>
  <c r="C14" i="32" s="1"/>
  <c r="J13" i="32"/>
  <c r="D13" i="32" s="1"/>
  <c r="C13" i="32" s="1"/>
  <c r="J12" i="32"/>
  <c r="N11" i="32"/>
  <c r="C17" i="68" s="1"/>
  <c r="M11" i="32"/>
  <c r="C18" i="68" s="1"/>
  <c r="L11" i="32"/>
  <c r="I11" i="32"/>
  <c r="G11" i="32"/>
  <c r="G12" i="39" s="1"/>
  <c r="F11" i="32"/>
  <c r="C13" i="68" s="1"/>
  <c r="E11" i="32"/>
  <c r="C12" i="68" s="1"/>
  <c r="G33" i="9"/>
  <c r="G31" i="9" s="1"/>
  <c r="F33" i="9"/>
  <c r="F31" i="9" s="1"/>
  <c r="E33" i="9"/>
  <c r="E31" i="9" s="1"/>
  <c r="D33" i="9"/>
  <c r="D31" i="9"/>
  <c r="C33" i="9"/>
  <c r="C31" i="9"/>
  <c r="C26" i="9"/>
  <c r="C24" i="9"/>
  <c r="G26" i="9"/>
  <c r="G24" i="9"/>
  <c r="F26" i="9"/>
  <c r="F24" i="9"/>
  <c r="E26" i="9"/>
  <c r="E24" i="9"/>
  <c r="D26" i="9"/>
  <c r="D24" i="9"/>
  <c r="G18" i="9"/>
  <c r="G16" i="9"/>
  <c r="F18" i="9"/>
  <c r="F16" i="9"/>
  <c r="E18" i="9"/>
  <c r="E16" i="9"/>
  <c r="D18" i="9"/>
  <c r="D16" i="9"/>
  <c r="C18" i="9"/>
  <c r="C16" i="9"/>
  <c r="D10" i="9"/>
  <c r="D8" i="9"/>
  <c r="E10" i="9"/>
  <c r="E8" i="9"/>
  <c r="F10" i="9"/>
  <c r="F8" i="9"/>
  <c r="G10" i="9"/>
  <c r="G8" i="9"/>
  <c r="C10" i="9"/>
  <c r="C8" i="9"/>
  <c r="D10" i="7"/>
  <c r="D7" i="7"/>
  <c r="E10" i="7"/>
  <c r="E7" i="7"/>
  <c r="F10" i="7"/>
  <c r="F7" i="7"/>
  <c r="G10" i="7"/>
  <c r="G7" i="7"/>
  <c r="C10" i="7"/>
  <c r="C7" i="7"/>
  <c r="D17" i="6"/>
  <c r="E17" i="6"/>
  <c r="F17" i="6"/>
  <c r="G17" i="6"/>
  <c r="H17" i="6"/>
  <c r="I17" i="6"/>
  <c r="C17" i="6"/>
  <c r="D24" i="6"/>
  <c r="E24" i="6"/>
  <c r="F24" i="6"/>
  <c r="G24" i="6"/>
  <c r="H24" i="6"/>
  <c r="I24" i="6"/>
  <c r="C24" i="6"/>
  <c r="I35" i="6"/>
  <c r="H35" i="6"/>
  <c r="G35" i="6"/>
  <c r="F35" i="6"/>
  <c r="E35" i="6"/>
  <c r="D35" i="6"/>
  <c r="C35" i="6"/>
  <c r="D32" i="6"/>
  <c r="E32" i="6"/>
  <c r="F32" i="6"/>
  <c r="G32" i="6"/>
  <c r="G29" i="6"/>
  <c r="H32" i="6"/>
  <c r="H29" i="6"/>
  <c r="I32" i="6"/>
  <c r="I29" i="6"/>
  <c r="C32" i="6"/>
  <c r="D10" i="6"/>
  <c r="D8" i="6" s="1"/>
  <c r="E10" i="6"/>
  <c r="E8" i="6" s="1"/>
  <c r="F10" i="6"/>
  <c r="F8" i="6" s="1"/>
  <c r="G10" i="6"/>
  <c r="G8" i="6" s="1"/>
  <c r="H10" i="6"/>
  <c r="H8" i="6" s="1"/>
  <c r="I10" i="6"/>
  <c r="I8" i="6" s="1"/>
  <c r="C10" i="6"/>
  <c r="C8" i="6" s="1"/>
  <c r="F12" i="39"/>
  <c r="F11" i="39" s="1"/>
  <c r="E29" i="6"/>
  <c r="F22" i="9"/>
  <c r="D29" i="6"/>
  <c r="F29" i="6"/>
  <c r="C16" i="6"/>
  <c r="F16" i="6"/>
  <c r="C22" i="9"/>
  <c r="G16" i="6"/>
  <c r="J26" i="39"/>
  <c r="D26" i="39" s="1"/>
  <c r="J13" i="39"/>
  <c r="D27" i="17"/>
  <c r="J23" i="39"/>
  <c r="J20" i="39"/>
  <c r="J19" i="39"/>
  <c r="J18" i="39"/>
  <c r="D18" i="39" s="1"/>
  <c r="J15" i="39"/>
  <c r="C29" i="6"/>
  <c r="I16" i="6"/>
  <c r="E16" i="6"/>
  <c r="H16" i="6"/>
  <c r="D16" i="6"/>
  <c r="G22" i="9"/>
  <c r="C14" i="37"/>
  <c r="E22" i="9"/>
  <c r="D22" i="9"/>
  <c r="J21" i="39"/>
  <c r="F27" i="17"/>
  <c r="E27" i="17"/>
  <c r="C31" i="37"/>
  <c r="J10" i="37"/>
  <c r="D22" i="17"/>
  <c r="C18" i="37"/>
  <c r="D15" i="37"/>
  <c r="D10" i="37" s="1"/>
  <c r="E22" i="17"/>
  <c r="F22" i="17"/>
  <c r="D20" i="17"/>
  <c r="E20" i="17"/>
  <c r="F20" i="17"/>
  <c r="D9" i="17"/>
  <c r="D8" i="17" s="1"/>
  <c r="F8" i="17" s="1"/>
  <c r="G57" i="35"/>
  <c r="F57" i="35" s="1"/>
  <c r="J56" i="35"/>
  <c r="C17" i="21" l="1"/>
  <c r="M9" i="38"/>
  <c r="D10" i="38"/>
  <c r="E9" i="11"/>
  <c r="C9" i="11"/>
  <c r="F9" i="11" s="1"/>
  <c r="F10" i="11"/>
  <c r="C10" i="14"/>
  <c r="F11" i="14"/>
  <c r="F14" i="15"/>
  <c r="E10" i="15"/>
  <c r="G14" i="15"/>
  <c r="D20" i="15"/>
  <c r="F20" i="15" s="1"/>
  <c r="F21" i="15"/>
  <c r="G21" i="15"/>
  <c r="F9" i="17"/>
  <c r="D27" i="11"/>
  <c r="F27" i="11" s="1"/>
  <c r="E11" i="14"/>
  <c r="E10" i="14" s="1"/>
  <c r="AE13" i="46"/>
  <c r="AP11" i="46"/>
  <c r="AF13" i="46"/>
  <c r="L11" i="39"/>
  <c r="F10" i="14"/>
  <c r="E20" i="11"/>
  <c r="E19" i="11" s="1"/>
  <c r="G45" i="35"/>
  <c r="F45" i="35" s="1"/>
  <c r="E9" i="72"/>
  <c r="E8" i="72" s="1"/>
  <c r="E7" i="72" s="1"/>
  <c r="J9" i="72"/>
  <c r="J8" i="72" s="1"/>
  <c r="J7" i="72" s="1"/>
  <c r="O9" i="72"/>
  <c r="O8" i="72" s="1"/>
  <c r="O7" i="72" s="1"/>
  <c r="L20" i="72"/>
  <c r="CJ15" i="46"/>
  <c r="CJ14" i="46" s="1"/>
  <c r="CJ13" i="46" s="1"/>
  <c r="CJ11" i="46" s="1"/>
  <c r="CJ17" i="46"/>
  <c r="D9" i="72"/>
  <c r="D8" i="72" s="1"/>
  <c r="D7" i="72" s="1"/>
  <c r="CV16" i="46"/>
  <c r="O22" i="35"/>
  <c r="C19" i="70"/>
  <c r="C20" i="70"/>
  <c r="C13" i="70" s="1"/>
  <c r="C22" i="70"/>
  <c r="H22" i="70"/>
  <c r="G22" i="70" s="1"/>
  <c r="C24" i="70"/>
  <c r="O24" i="70"/>
  <c r="O25" i="70"/>
  <c r="C26" i="70"/>
  <c r="O26" i="70"/>
  <c r="C27" i="70"/>
  <c r="C28" i="70"/>
  <c r="C32" i="70"/>
  <c r="C33" i="70"/>
  <c r="C34" i="70"/>
  <c r="H34" i="70"/>
  <c r="G34" i="70" s="1"/>
  <c r="H42" i="70"/>
  <c r="G42" i="70" s="1"/>
  <c r="C48" i="70"/>
  <c r="C49" i="70"/>
  <c r="C51" i="70"/>
  <c r="H62" i="70"/>
  <c r="G62" i="70" s="1"/>
  <c r="F66" i="70"/>
  <c r="J66" i="70"/>
  <c r="J12" i="70" s="1"/>
  <c r="J11" i="70" s="1"/>
  <c r="K66" i="70"/>
  <c r="O68" i="70"/>
  <c r="O69" i="70"/>
  <c r="O71" i="70"/>
  <c r="H71" i="70" s="1"/>
  <c r="G71" i="70" s="1"/>
  <c r="C72" i="70"/>
  <c r="H73" i="70"/>
  <c r="G73" i="70" s="1"/>
  <c r="O74" i="70"/>
  <c r="O77" i="70"/>
  <c r="H77" i="70" s="1"/>
  <c r="G77" i="70" s="1"/>
  <c r="C78" i="70"/>
  <c r="N12" i="41"/>
  <c r="C19" i="41"/>
  <c r="C21" i="41"/>
  <c r="C23" i="41"/>
  <c r="J22" i="41"/>
  <c r="I22" i="41"/>
  <c r="K22" i="41"/>
  <c r="O22" i="41"/>
  <c r="C25" i="41"/>
  <c r="C32" i="41"/>
  <c r="C82" i="68" s="1"/>
  <c r="C39" i="41"/>
  <c r="E32" i="33" s="1"/>
  <c r="C43" i="41"/>
  <c r="C89" i="68" s="1"/>
  <c r="D26" i="41"/>
  <c r="C26" i="41" s="1"/>
  <c r="F12" i="41"/>
  <c r="H12" i="41"/>
  <c r="H11" i="41" s="1"/>
  <c r="P12" i="41"/>
  <c r="I12" i="41"/>
  <c r="I11" i="41" s="1"/>
  <c r="K12" i="41"/>
  <c r="M12" i="41"/>
  <c r="C16" i="41"/>
  <c r="C18" i="41"/>
  <c r="C20" i="41"/>
  <c r="D22" i="41"/>
  <c r="E22" i="41"/>
  <c r="C24" i="41"/>
  <c r="E26" i="41"/>
  <c r="P26" i="41"/>
  <c r="R26" i="41"/>
  <c r="C29" i="41"/>
  <c r="M26" i="41"/>
  <c r="I44" i="41"/>
  <c r="I10" i="41" s="1"/>
  <c r="D11" i="41"/>
  <c r="C13" i="41"/>
  <c r="G12" i="41"/>
  <c r="G11" i="41" s="1"/>
  <c r="O12" i="41"/>
  <c r="O11" i="41" s="1"/>
  <c r="C15" i="41"/>
  <c r="C17" i="41"/>
  <c r="J12" i="41"/>
  <c r="J11" i="41" s="1"/>
  <c r="R12" i="41"/>
  <c r="F22" i="41"/>
  <c r="F11" i="41" s="1"/>
  <c r="H22" i="41"/>
  <c r="L22" i="41"/>
  <c r="L11" i="41" s="1"/>
  <c r="N22" i="41"/>
  <c r="P22" i="41"/>
  <c r="R22" i="41"/>
  <c r="C71" i="68"/>
  <c r="R33" i="37" s="1"/>
  <c r="Q10" i="41"/>
  <c r="P11" i="41"/>
  <c r="C64" i="68"/>
  <c r="F31" i="70"/>
  <c r="F12" i="70" s="1"/>
  <c r="F11" i="70" s="1"/>
  <c r="C36" i="70"/>
  <c r="C41" i="70"/>
  <c r="C44" i="70"/>
  <c r="C55" i="70"/>
  <c r="H55" i="70"/>
  <c r="G55" i="70" s="1"/>
  <c r="C57" i="70"/>
  <c r="C58" i="70"/>
  <c r="C60" i="70"/>
  <c r="H60" i="70"/>
  <c r="G60" i="70" s="1"/>
  <c r="C61" i="70"/>
  <c r="C62" i="70"/>
  <c r="C63" i="70"/>
  <c r="O76" i="70"/>
  <c r="G82" i="70"/>
  <c r="G81" i="70" s="1"/>
  <c r="H18" i="70"/>
  <c r="G18" i="70" s="1"/>
  <c r="H24" i="70"/>
  <c r="G24" i="70" s="1"/>
  <c r="H25" i="70"/>
  <c r="G25" i="70" s="1"/>
  <c r="H26" i="70"/>
  <c r="G26" i="70" s="1"/>
  <c r="H45" i="70"/>
  <c r="G45" i="70" s="1"/>
  <c r="H68" i="70"/>
  <c r="G68" i="70" s="1"/>
  <c r="H69" i="70"/>
  <c r="G69" i="70" s="1"/>
  <c r="H74" i="70"/>
  <c r="G74" i="70" s="1"/>
  <c r="H76" i="70"/>
  <c r="G76" i="70" s="1"/>
  <c r="H65" i="70"/>
  <c r="G65" i="70" s="1"/>
  <c r="E12" i="70"/>
  <c r="E11" i="70" s="1"/>
  <c r="H21" i="70"/>
  <c r="G21" i="70" s="1"/>
  <c r="H27" i="70"/>
  <c r="G27" i="70" s="1"/>
  <c r="H72" i="70"/>
  <c r="G72" i="70" s="1"/>
  <c r="D12" i="70"/>
  <c r="D11" i="70" s="1"/>
  <c r="H35" i="70"/>
  <c r="G35" i="70" s="1"/>
  <c r="H47" i="70"/>
  <c r="G47" i="70" s="1"/>
  <c r="H48" i="70"/>
  <c r="G48" i="70" s="1"/>
  <c r="H54" i="70"/>
  <c r="G54" i="70" s="1"/>
  <c r="O15" i="70"/>
  <c r="H15" i="70" s="1"/>
  <c r="G15" i="70" s="1"/>
  <c r="O23" i="70"/>
  <c r="C25" i="70"/>
  <c r="C38" i="70"/>
  <c r="H43" i="70"/>
  <c r="G43" i="70" s="1"/>
  <c r="H52" i="70"/>
  <c r="G52" i="70" s="1"/>
  <c r="C53" i="70"/>
  <c r="H57" i="70"/>
  <c r="G57" i="70" s="1"/>
  <c r="H64" i="70"/>
  <c r="G64" i="70" s="1"/>
  <c r="C65" i="70"/>
  <c r="C68" i="70"/>
  <c r="C70" i="70"/>
  <c r="C76" i="70"/>
  <c r="G89" i="70"/>
  <c r="H32" i="70"/>
  <c r="G32" i="70" s="1"/>
  <c r="K13" i="70"/>
  <c r="H16" i="70"/>
  <c r="G16" i="70" s="1"/>
  <c r="O17" i="70"/>
  <c r="H20" i="70"/>
  <c r="G20" i="70" s="1"/>
  <c r="C35" i="70"/>
  <c r="H37" i="70"/>
  <c r="G37" i="70" s="1"/>
  <c r="H40" i="70"/>
  <c r="G40" i="70" s="1"/>
  <c r="C43" i="70"/>
  <c r="H46" i="70"/>
  <c r="G46" i="70" s="1"/>
  <c r="H51" i="70"/>
  <c r="G51" i="70" s="1"/>
  <c r="H53" i="70"/>
  <c r="G53" i="70" s="1"/>
  <c r="C54" i="70"/>
  <c r="H56" i="70"/>
  <c r="G56" i="70" s="1"/>
  <c r="H58" i="70"/>
  <c r="G58" i="70" s="1"/>
  <c r="H63" i="70"/>
  <c r="G63" i="70" s="1"/>
  <c r="O67" i="70"/>
  <c r="C69" i="70"/>
  <c r="C73" i="70"/>
  <c r="C75" i="70"/>
  <c r="O75" i="70"/>
  <c r="H75" i="70" s="1"/>
  <c r="G75" i="70" s="1"/>
  <c r="K12" i="70"/>
  <c r="K11" i="70" s="1"/>
  <c r="H23" i="70"/>
  <c r="G23" i="70" s="1"/>
  <c r="H36" i="70"/>
  <c r="G36" i="70" s="1"/>
  <c r="H38" i="70"/>
  <c r="G38" i="70" s="1"/>
  <c r="H41" i="70"/>
  <c r="G41" i="70" s="1"/>
  <c r="H49" i="70"/>
  <c r="G49" i="70" s="1"/>
  <c r="H59" i="70"/>
  <c r="G59" i="70" s="1"/>
  <c r="H61" i="70"/>
  <c r="G61" i="70" s="1"/>
  <c r="H33" i="70"/>
  <c r="O31" i="70"/>
  <c r="G31" i="35"/>
  <c r="E22" i="35"/>
  <c r="G34" i="35"/>
  <c r="F34" i="35" s="1"/>
  <c r="H36" i="35"/>
  <c r="H35" i="35" s="1"/>
  <c r="H17" i="35" s="1"/>
  <c r="C64" i="35"/>
  <c r="C63" i="35" s="1"/>
  <c r="I16" i="37"/>
  <c r="I15" i="37" s="1"/>
  <c r="I10" i="37" s="1"/>
  <c r="I44" i="35"/>
  <c r="G44" i="35" s="1"/>
  <c r="F44" i="35" s="1"/>
  <c r="K35" i="35"/>
  <c r="K17" i="35" s="1"/>
  <c r="G59" i="35"/>
  <c r="F59" i="35" s="1"/>
  <c r="E20" i="37"/>
  <c r="C40" i="68"/>
  <c r="D28" i="33" s="1"/>
  <c r="C28" i="33" s="1"/>
  <c r="F64" i="35"/>
  <c r="F63" i="35" s="1"/>
  <c r="C46" i="68" s="1"/>
  <c r="I22" i="35"/>
  <c r="M50" i="35"/>
  <c r="C31" i="35"/>
  <c r="C22" i="35" s="1"/>
  <c r="D35" i="35"/>
  <c r="D17" i="35" s="1"/>
  <c r="O36" i="35"/>
  <c r="O35" i="35" s="1"/>
  <c r="N24" i="35"/>
  <c r="N23" i="35" s="1"/>
  <c r="N22" i="35" s="1"/>
  <c r="G26" i="35"/>
  <c r="F26" i="35" s="1"/>
  <c r="K16" i="37" s="1"/>
  <c r="I43" i="35"/>
  <c r="G43" i="35" s="1"/>
  <c r="F43" i="35" s="1"/>
  <c r="C50" i="35"/>
  <c r="I52" i="35"/>
  <c r="L35" i="35"/>
  <c r="L17" i="35" s="1"/>
  <c r="F27" i="37"/>
  <c r="F10" i="37" s="1"/>
  <c r="C28" i="37"/>
  <c r="C27" i="37" s="1"/>
  <c r="M12" i="37"/>
  <c r="O11" i="37"/>
  <c r="O10" i="37" s="1"/>
  <c r="M36" i="35"/>
  <c r="G49" i="35"/>
  <c r="F49" i="35" s="1"/>
  <c r="G55" i="35"/>
  <c r="F55" i="35" s="1"/>
  <c r="G64" i="35"/>
  <c r="G63" i="35" s="1"/>
  <c r="G32" i="35"/>
  <c r="F32" i="35" s="1"/>
  <c r="G53" i="35"/>
  <c r="F53" i="35" s="1"/>
  <c r="J50" i="35"/>
  <c r="F73" i="35"/>
  <c r="C49" i="68"/>
  <c r="C48" i="68" s="1"/>
  <c r="M27" i="35"/>
  <c r="G27" i="35" s="1"/>
  <c r="F27" i="35" s="1"/>
  <c r="H17" i="37" s="1"/>
  <c r="C36" i="35"/>
  <c r="N37" i="35"/>
  <c r="I40" i="35"/>
  <c r="N41" i="35"/>
  <c r="J41" i="35"/>
  <c r="G41" i="35" s="1"/>
  <c r="F41" i="35" s="1"/>
  <c r="N42" i="35"/>
  <c r="I42" i="35"/>
  <c r="G42" i="35" s="1"/>
  <c r="F42" i="35" s="1"/>
  <c r="N43" i="35"/>
  <c r="I51" i="35"/>
  <c r="G52" i="35"/>
  <c r="F52" i="35" s="1"/>
  <c r="N55" i="35"/>
  <c r="N50" i="35" s="1"/>
  <c r="C56" i="35"/>
  <c r="M58" i="35"/>
  <c r="N59" i="35"/>
  <c r="N56" i="35" s="1"/>
  <c r="R60" i="35"/>
  <c r="M60" i="35"/>
  <c r="G60" i="35" s="1"/>
  <c r="F60" i="35" s="1"/>
  <c r="P26" i="37" s="1"/>
  <c r="E64" i="35"/>
  <c r="E63" i="35" s="1"/>
  <c r="E35" i="35" s="1"/>
  <c r="R10" i="37"/>
  <c r="J11" i="32"/>
  <c r="C16" i="68" s="1"/>
  <c r="D21" i="39"/>
  <c r="J16" i="39"/>
  <c r="J22" i="39"/>
  <c r="D22" i="39" s="1"/>
  <c r="J14" i="39"/>
  <c r="D14" i="39" s="1"/>
  <c r="C14" i="39" s="1"/>
  <c r="J24" i="39"/>
  <c r="D24" i="39" s="1"/>
  <c r="C24" i="39" s="1"/>
  <c r="D12" i="32"/>
  <c r="D11" i="32" s="1"/>
  <c r="C11" i="32" s="1"/>
  <c r="D20" i="39"/>
  <c r="C20" i="39" s="1"/>
  <c r="E12" i="39"/>
  <c r="E11" i="39" s="1"/>
  <c r="D15" i="39"/>
  <c r="C15" i="39" s="1"/>
  <c r="D19" i="39"/>
  <c r="C19" i="39" s="1"/>
  <c r="D23" i="39"/>
  <c r="C23" i="39" s="1"/>
  <c r="D16" i="39"/>
  <c r="C16" i="39" s="1"/>
  <c r="J17" i="39"/>
  <c r="D17" i="39" s="1"/>
  <c r="C17" i="39" s="1"/>
  <c r="J25" i="39"/>
  <c r="D25" i="39" s="1"/>
  <c r="J27" i="39"/>
  <c r="D27" i="39" s="1"/>
  <c r="C27" i="39" s="1"/>
  <c r="D13" i="39"/>
  <c r="C13" i="39" s="1"/>
  <c r="C15" i="68"/>
  <c r="C25" i="39"/>
  <c r="G11" i="39"/>
  <c r="C21" i="39"/>
  <c r="C18" i="39"/>
  <c r="C22" i="39"/>
  <c r="C26" i="39"/>
  <c r="M26" i="39" s="1"/>
  <c r="Q26" i="39" s="1"/>
  <c r="C12" i="32"/>
  <c r="J12" i="39"/>
  <c r="C14" i="68"/>
  <c r="F31" i="35" l="1"/>
  <c r="N11" i="41"/>
  <c r="E11" i="41"/>
  <c r="K11" i="41"/>
  <c r="K44" i="41" s="1"/>
  <c r="K10" i="41" s="1"/>
  <c r="M20" i="39" s="1"/>
  <c r="Q20" i="39" s="1"/>
  <c r="CT16" i="46"/>
  <c r="CT15" i="46" s="1"/>
  <c r="CT14" i="46" s="1"/>
  <c r="CV15" i="46"/>
  <c r="CV14" i="46" s="1"/>
  <c r="CV13" i="46" s="1"/>
  <c r="CV11" i="46" s="1"/>
  <c r="CT11" i="46" s="1"/>
  <c r="L16" i="72"/>
  <c r="L7" i="72" s="1"/>
  <c r="N20" i="72"/>
  <c r="AD13" i="46"/>
  <c r="AE11" i="46"/>
  <c r="N9" i="72"/>
  <c r="G20" i="15"/>
  <c r="G10" i="15"/>
  <c r="F10" i="15"/>
  <c r="D19" i="11"/>
  <c r="F19" i="11" s="1"/>
  <c r="C10" i="38"/>
  <c r="C9" i="38" s="1"/>
  <c r="D9" i="38"/>
  <c r="E44" i="41"/>
  <c r="E10" i="41" s="1"/>
  <c r="M14" i="39" s="1"/>
  <c r="Q14" i="39" s="1"/>
  <c r="M11" i="41"/>
  <c r="M18" i="39"/>
  <c r="Q18" i="39" s="1"/>
  <c r="C55" i="68"/>
  <c r="D40" i="33" s="1"/>
  <c r="Q33" i="37"/>
  <c r="C22" i="41"/>
  <c r="H44" i="41"/>
  <c r="H10" i="41" s="1"/>
  <c r="M17" i="39" s="1"/>
  <c r="Q17" i="39" s="1"/>
  <c r="N44" i="41"/>
  <c r="N10" i="41" s="1"/>
  <c r="M23" i="39" s="1"/>
  <c r="Q23" i="39" s="1"/>
  <c r="R11" i="41"/>
  <c r="O44" i="41"/>
  <c r="O10" i="41" s="1"/>
  <c r="M24" i="39" s="1"/>
  <c r="Q24" i="39" s="1"/>
  <c r="C12" i="41"/>
  <c r="C11" i="41" s="1"/>
  <c r="E25" i="33" s="1"/>
  <c r="E11" i="33" s="1"/>
  <c r="E10" i="33" s="1"/>
  <c r="P44" i="41"/>
  <c r="P10" i="41" s="1"/>
  <c r="M25" i="39" s="1"/>
  <c r="Q25" i="39" s="1"/>
  <c r="L44" i="41"/>
  <c r="L10" i="41" s="1"/>
  <c r="M21" i="39" s="1"/>
  <c r="Q21" i="39" s="1"/>
  <c r="F44" i="41"/>
  <c r="F10" i="41" s="1"/>
  <c r="M15" i="39" s="1"/>
  <c r="Q15" i="39" s="1"/>
  <c r="J44" i="41"/>
  <c r="J10" i="41" s="1"/>
  <c r="M19" i="39" s="1"/>
  <c r="Q19" i="39" s="1"/>
  <c r="G44" i="41"/>
  <c r="G10" i="41" s="1"/>
  <c r="M16" i="39" s="1"/>
  <c r="Q16" i="39" s="1"/>
  <c r="D44" i="41"/>
  <c r="D10" i="41" s="1"/>
  <c r="C31" i="70"/>
  <c r="H67" i="70"/>
  <c r="O66" i="70"/>
  <c r="C66" i="70"/>
  <c r="H17" i="70"/>
  <c r="O13" i="70"/>
  <c r="G33" i="70"/>
  <c r="G31" i="70" s="1"/>
  <c r="H31" i="70"/>
  <c r="E17" i="35"/>
  <c r="M56" i="35"/>
  <c r="M35" i="35" s="1"/>
  <c r="I50" i="35"/>
  <c r="G50" i="35" s="1"/>
  <c r="G51" i="35"/>
  <c r="F51" i="35" s="1"/>
  <c r="F50" i="35" s="1"/>
  <c r="M23" i="35"/>
  <c r="M22" i="35" s="1"/>
  <c r="I36" i="35"/>
  <c r="C35" i="35"/>
  <c r="C17" i="35" s="1"/>
  <c r="K15" i="37"/>
  <c r="K10" i="37" s="1"/>
  <c r="C16" i="37"/>
  <c r="C20" i="37"/>
  <c r="E10" i="37"/>
  <c r="H15" i="37"/>
  <c r="H10" i="37" s="1"/>
  <c r="C17" i="37"/>
  <c r="C15" i="37" s="1"/>
  <c r="C43" i="68"/>
  <c r="D19" i="37"/>
  <c r="C19" i="37" s="1"/>
  <c r="G40" i="35"/>
  <c r="C26" i="37"/>
  <c r="C22" i="37" s="1"/>
  <c r="P22" i="37"/>
  <c r="P10" i="37" s="1"/>
  <c r="N36" i="35"/>
  <c r="N35" i="35" s="1"/>
  <c r="N17" i="35" s="1"/>
  <c r="C83" i="68" s="1"/>
  <c r="D33" i="33" s="1"/>
  <c r="C33" i="33" s="1"/>
  <c r="G58" i="35"/>
  <c r="J36" i="35"/>
  <c r="J35" i="35" s="1"/>
  <c r="J17" i="35" s="1"/>
  <c r="G23" i="35"/>
  <c r="G22" i="35" s="1"/>
  <c r="F23" i="35"/>
  <c r="C12" i="37"/>
  <c r="C11" i="37" s="1"/>
  <c r="M11" i="37"/>
  <c r="M10" i="37" s="1"/>
  <c r="C11" i="68"/>
  <c r="J11" i="39"/>
  <c r="D12" i="39"/>
  <c r="P20" i="72" l="1"/>
  <c r="N16" i="72"/>
  <c r="P16" i="72" s="1"/>
  <c r="I35" i="35"/>
  <c r="I17" i="35" s="1"/>
  <c r="M17" i="35"/>
  <c r="P9" i="72"/>
  <c r="P8" i="72" s="1"/>
  <c r="N8" i="72"/>
  <c r="N7" i="72" s="1"/>
  <c r="P7" i="72" s="1"/>
  <c r="AD11" i="46"/>
  <c r="AC13" i="46"/>
  <c r="AC11" i="46" s="1"/>
  <c r="CT13" i="46"/>
  <c r="DG14" i="46"/>
  <c r="M44" i="41"/>
  <c r="M10" i="41" s="1"/>
  <c r="M22" i="39" s="1"/>
  <c r="Q22" i="39" s="1"/>
  <c r="M13" i="39"/>
  <c r="Q13" i="39" s="1"/>
  <c r="R44" i="41"/>
  <c r="R10" i="41" s="1"/>
  <c r="M27" i="39" s="1"/>
  <c r="Q27" i="39" s="1"/>
  <c r="Q10" i="37"/>
  <c r="C33" i="37"/>
  <c r="C10" i="37" s="1"/>
  <c r="D39" i="33"/>
  <c r="D34" i="33" s="1"/>
  <c r="C40" i="33"/>
  <c r="C39" i="33" s="1"/>
  <c r="C34" i="33" s="1"/>
  <c r="O12" i="70"/>
  <c r="H12" i="70" s="1"/>
  <c r="H11" i="70" s="1"/>
  <c r="C12" i="70"/>
  <c r="C11" i="70" s="1"/>
  <c r="O11" i="70"/>
  <c r="G17" i="70"/>
  <c r="G13" i="70" s="1"/>
  <c r="H13" i="70"/>
  <c r="H66" i="70"/>
  <c r="G67" i="70"/>
  <c r="G66" i="70" s="1"/>
  <c r="C39" i="68"/>
  <c r="F22" i="35"/>
  <c r="F58" i="35"/>
  <c r="F56" i="35" s="1"/>
  <c r="C47" i="68" s="1"/>
  <c r="G56" i="35"/>
  <c r="F40" i="35"/>
  <c r="F36" i="35" s="1"/>
  <c r="G36" i="35"/>
  <c r="G35" i="35" s="1"/>
  <c r="G17" i="35" s="1"/>
  <c r="C12" i="39"/>
  <c r="D11" i="39"/>
  <c r="C11" i="39" s="1"/>
  <c r="C44" i="41" l="1"/>
  <c r="C90" i="68" s="1"/>
  <c r="C10" i="41"/>
  <c r="G12" i="70"/>
  <c r="G11" i="70" s="1"/>
  <c r="C42" i="68" s="1"/>
  <c r="D27" i="33" s="1"/>
  <c r="C27" i="33" s="1"/>
  <c r="F35" i="35"/>
  <c r="C45" i="68"/>
  <c r="C44" i="68" s="1"/>
  <c r="C37" i="68" s="1"/>
  <c r="M12" i="39"/>
  <c r="C25" i="68"/>
  <c r="O83" i="35" l="1"/>
  <c r="C87" i="68"/>
  <c r="C86" i="68" s="1"/>
  <c r="F83" i="35"/>
  <c r="O17" i="35"/>
  <c r="D25" i="33"/>
  <c r="M11" i="39"/>
  <c r="C20" i="68" s="1"/>
  <c r="C19" i="68" s="1"/>
  <c r="Q12" i="39"/>
  <c r="Q11" i="39" s="1"/>
  <c r="R11" i="39" s="1"/>
  <c r="C85" i="68" l="1"/>
  <c r="F17" i="35"/>
  <c r="C25" i="33"/>
  <c r="C26" i="68"/>
  <c r="C24" i="68" s="1"/>
  <c r="C23" i="68" s="1"/>
  <c r="C10" i="68"/>
  <c r="D32" i="33" l="1"/>
  <c r="C28" i="68"/>
  <c r="C27" i="68" s="1"/>
  <c r="C32" i="33" l="1"/>
  <c r="C11" i="33" s="1"/>
  <c r="C10" i="33" s="1"/>
  <c r="D11" i="33"/>
  <c r="D10" i="33" s="1"/>
  <c r="G10" i="33" l="1"/>
  <c r="H9" i="33"/>
</calcChain>
</file>

<file path=xl/comments1.xml><?xml version="1.0" encoding="utf-8"?>
<comments xmlns="http://schemas.openxmlformats.org/spreadsheetml/2006/main">
  <authors>
    <author>DELL</author>
  </authors>
  <commentList>
    <comment ref="O20" authorId="0">
      <text>
        <r>
          <rPr>
            <b/>
            <sz val="9"/>
            <color indexed="81"/>
            <rFont val="Tahoma"/>
            <family val="2"/>
          </rPr>
          <t>DELL:</t>
        </r>
        <r>
          <rPr>
            <sz val="9"/>
            <color indexed="81"/>
            <rFont val="Tahoma"/>
            <family val="2"/>
          </rPr>
          <t xml:space="preserve">
Chưa phân bổ</t>
        </r>
      </text>
    </comment>
    <comment ref="O32" authorId="0">
      <text>
        <r>
          <rPr>
            <b/>
            <sz val="9"/>
            <color indexed="81"/>
            <rFont val="Tahoma"/>
            <family val="2"/>
          </rPr>
          <t>DELL:</t>
        </r>
        <r>
          <rPr>
            <sz val="9"/>
            <color indexed="81"/>
            <rFont val="Tahoma"/>
            <family val="2"/>
          </rPr>
          <t xml:space="preserve">
KP đào tạo </t>
        </r>
      </text>
    </comment>
    <comment ref="O33" authorId="0">
      <text>
        <r>
          <rPr>
            <b/>
            <sz val="9"/>
            <color indexed="81"/>
            <rFont val="Tahoma"/>
            <family val="2"/>
          </rPr>
          <t>DELL:</t>
        </r>
        <r>
          <rPr>
            <sz val="9"/>
            <color indexed="81"/>
            <rFont val="Tahoma"/>
            <family val="2"/>
          </rPr>
          <t xml:space="preserve">
KP đào tạo </t>
        </r>
      </text>
    </comment>
    <comment ref="L60" authorId="0">
      <text>
        <r>
          <rPr>
            <b/>
            <sz val="9"/>
            <color indexed="81"/>
            <rFont val="Tahoma"/>
            <family val="2"/>
          </rPr>
          <t>DELL:</t>
        </r>
        <r>
          <rPr>
            <sz val="9"/>
            <color indexed="81"/>
            <rFont val="Tahoma"/>
            <family val="2"/>
          </rPr>
          <t xml:space="preserve">
Chi bo ghép: LĐLĐ - CTĐ</t>
        </r>
      </text>
    </comment>
  </commentList>
</comments>
</file>

<file path=xl/comments2.xml><?xml version="1.0" encoding="utf-8"?>
<comments xmlns="http://schemas.openxmlformats.org/spreadsheetml/2006/main">
  <authors>
    <author>Admin</author>
  </authors>
  <commentList>
    <comment ref="G7" authorId="0">
      <text>
        <r>
          <rPr>
            <b/>
            <sz val="9"/>
            <color indexed="81"/>
            <rFont val="Tahoma"/>
            <family val="2"/>
          </rPr>
          <t>Admin:</t>
        </r>
        <r>
          <rPr>
            <sz val="9"/>
            <color indexed="81"/>
            <rFont val="Tahoma"/>
            <family val="2"/>
          </rPr>
          <t xml:space="preserve">
điều chỉnh nội bộ lần 4: 89.600
</t>
        </r>
      </text>
    </comment>
    <comment ref="H7" authorId="0">
      <text>
        <r>
          <rPr>
            <b/>
            <sz val="9"/>
            <color indexed="81"/>
            <rFont val="Tahoma"/>
            <family val="2"/>
          </rPr>
          <t>Admin:</t>
        </r>
        <r>
          <rPr>
            <sz val="9"/>
            <color indexed="81"/>
            <rFont val="Tahoma"/>
            <family val="2"/>
          </rPr>
          <t xml:space="preserve">
bổ sung: 25,260 triệu đồng
</t>
        </r>
      </text>
    </comment>
  </commentList>
</comments>
</file>

<file path=xl/sharedStrings.xml><?xml version="1.0" encoding="utf-8"?>
<sst xmlns="http://schemas.openxmlformats.org/spreadsheetml/2006/main" count="4494" uniqueCount="1793">
  <si>
    <t>Biểu mẫu số 01</t>
  </si>
  <si>
    <t>DỰ BÁO MỘT SỐ CHỈ TIÊU KINH TẾ - XÃ HỘI CHỦ YẾU GIAI ĐOẠN...</t>
  </si>
  <si>
    <t>(Dùng cho ngân sách tỉnh, thành phố trực thuộc trung ương - năm đầu thời kỳ ổn định ngân sách)</t>
  </si>
  <si>
    <t>STT</t>
  </si>
  <si>
    <t>Nội dung</t>
  </si>
  <si>
    <t>Đơn vị tính</t>
  </si>
  <si>
    <t>Mục tiêu giai đoạn trước</t>
  </si>
  <si>
    <t>Thực hiện giai đoạn trước</t>
  </si>
  <si>
    <t>Kế hoạch giai đoạn...</t>
  </si>
  <si>
    <t>Tổng giai đoạn</t>
  </si>
  <si>
    <t>Năm thứnhất</t>
  </si>
  <si>
    <t>Năm thứ hai</t>
  </si>
  <si>
    <t>Năm thứ ba</t>
  </si>
  <si>
    <t>Năm thứ tư</t>
  </si>
  <si>
    <t>Năm thứ năm</t>
  </si>
  <si>
    <t>A</t>
  </si>
  <si>
    <t>B</t>
  </si>
  <si>
    <t>Tổng sản phẩm trong nước (GRDP) theo giá hiện hành</t>
  </si>
  <si>
    <t>Triệu đồng</t>
  </si>
  <si>
    <t>Tốc độ tăng trưởng GRDP</t>
  </si>
  <si>
    <t>%</t>
  </si>
  <si>
    <t>Cơ cấu kinh tế</t>
  </si>
  <si>
    <t>-</t>
  </si>
  <si>
    <t>Nông, lâm, ngư nghiệp</t>
  </si>
  <si>
    <t>Công nghiệp, xây dựng</t>
  </si>
  <si>
    <t>Dịch vụ</t>
  </si>
  <si>
    <t>Chỉ số giá tiêu dùng (CPI)</t>
  </si>
  <si>
    <t>Tổng vốn đầu tư phát triển toàn xã hội trên địa bàn</t>
  </si>
  <si>
    <t>Tỷ lệ so với GRDP</t>
  </si>
  <si>
    <t>Vốn ngân sách nhà nước</t>
  </si>
  <si>
    <t>Triệu đồng</t>
  </si>
  <si>
    <t>Vốn tín dụng</t>
  </si>
  <si>
    <t>Vốn doanh nghiệp và dân cư</t>
  </si>
  <si>
    <t>Vốn đầu tư trực tiếp nước ngoài</t>
  </si>
  <si>
    <t>Kim ngạch xuất khẩu</t>
  </si>
  <si>
    <t>Triệu USD</t>
  </si>
  <si>
    <t>Tốc độ tăng</t>
  </si>
  <si>
    <t>Kim ngạch nhập khẩu</t>
  </si>
  <si>
    <t>Triệu USD</t>
  </si>
  <si>
    <t>Dân số</t>
  </si>
  <si>
    <t>1.000 người</t>
  </si>
  <si>
    <t>Thu nhập bình quân đầu người</t>
  </si>
  <si>
    <t>Giải quyết việc làm mới</t>
  </si>
  <si>
    <t>1.000 laođộng</t>
  </si>
  <si>
    <t>Tỷ lệ lao động qua đào tạo</t>
  </si>
  <si>
    <t>Tỷ lệ hộ nghèo</t>
  </si>
  <si>
    <t>Tỷ lệ giảm hộ nghèo</t>
  </si>
  <si>
    <t>%/năm</t>
  </si>
  <si>
    <t>Tỷ lệ xã đạt tiêu chuẩn nông thôn mới</t>
  </si>
  <si>
    <t>Số xã đạt tiêu chuẩn nông thôn mới (lũy kế)</t>
  </si>
  <si>
    <t>xã</t>
  </si>
  <si>
    <t>………….</t>
  </si>
  <si>
    <t>Ghi chú: Cột 9 không chi tiết từng năm.</t>
  </si>
  <si>
    <t>Biểu mẫu số 02</t>
  </si>
  <si>
    <t>KẾ HOẠCH TÀI CHÍNH - NGÂN SÁCH GIAI ĐOẠN 05 NĂM...</t>
  </si>
  <si>
    <t>(Dùng cho ngân sách tỉnh, thành phố trực thuộc trung ương)</t>
  </si>
  <si>
    <t>Đơn vị: Triệu đồng</t>
  </si>
  <si>
    <t>Kế hoạch giai đoạn trước</t>
  </si>
  <si>
    <t>Năm thứ nhất</t>
  </si>
  <si>
    <t>Năm thứhai</t>
  </si>
  <si>
    <t>Năm thứ ba</t>
  </si>
  <si>
    <t>TỔNG SẢN PHẨM TRONG NƯỚC (CRDP) THEO GIÁ HIỆN HÀNH</t>
  </si>
  <si>
    <t>TỔNG THU NSNN TRÊN ĐỊA BÀN</t>
  </si>
  <si>
    <t>Tỷ lệ thu NSNN so với GRDP (%)</t>
  </si>
  <si>
    <t>Tỷ lệ thu từ thuế, phí so với GRDP (%)</t>
  </si>
  <si>
    <t>Thu nội địa</t>
  </si>
  <si>
    <t>Tốc độ tăng thu (%)</t>
  </si>
  <si>
    <t>Tỷ trọng trong tổng thu NSNN trên địa bàn (%)</t>
  </si>
  <si>
    <t>Trong đó: Thu tiền sử dụng đất</t>
  </si>
  <si>
    <t>                Thu xổ số kiến thiết</t>
  </si>
  <si>
    <t>II</t>
  </si>
  <si>
    <t>Thu từ dầu thô (nếu có)</t>
  </si>
  <si>
    <t>Tốc độ tăng thu (%)</t>
  </si>
  <si>
    <t>III</t>
  </si>
  <si>
    <t>Thu từ hoạt động xuất, nhập khẩu (nếu có)</t>
  </si>
  <si>
    <t>Tốc độ tăng thu (%)</t>
  </si>
  <si>
    <t>Tỷ trọng trong tổng thu NSNN trên địa bàn (%)</t>
  </si>
  <si>
    <t>IV</t>
  </si>
  <si>
    <t>Thu viện trợ (nếu có)</t>
  </si>
  <si>
    <t>C</t>
  </si>
  <si>
    <t>TỔNG THU NSĐP</t>
  </si>
  <si>
    <t>Tốc độ tăng thu NSĐP (%)</t>
  </si>
  <si>
    <t>Tỷ lệ thu NSĐP so với GRDP (%)</t>
  </si>
  <si>
    <t>I</t>
  </si>
  <si>
    <t>Thu NSĐP được hưởng theo phân cấp</t>
  </si>
  <si>
    <t>Tốc độ tăng (%)</t>
  </si>
  <si>
    <t>Tỷ trọng trong tổng thu NSĐP (%)</t>
  </si>
  <si>
    <t>Thu bổ sung cân đối ngân sách</t>
  </si>
  <si>
    <t>Thu bổ sung có mục tiêu</t>
  </si>
  <si>
    <t>D</t>
  </si>
  <si>
    <t>TỔNG CHI NSĐP</t>
  </si>
  <si>
    <t>Tốc độ tăng thu NSĐP (%)</t>
  </si>
  <si>
    <t>Tỷ lệ chi NSĐP so với GRDP (%)</t>
  </si>
  <si>
    <t>Chi đầu tư phát triển (1)</t>
  </si>
  <si>
    <t>Tốc độ tăng (%)</t>
  </si>
  <si>
    <t>Tỷ trọng trong tổng chi NSĐP (%)</t>
  </si>
  <si>
    <t>Chi thường xuyên</t>
  </si>
  <si>
    <t>Chi trả nợ lãi các khoản do chính quyền địa phương vay</t>
  </si>
  <si>
    <t>Chi tạo nguồn, điều chỉnh tiền lương</t>
  </si>
  <si>
    <t>E</t>
  </si>
  <si>
    <t>BỘI CHI/BỘI THU NSĐP</t>
  </si>
  <si>
    <t>G</t>
  </si>
  <si>
    <t>TỔNG MỨC VAY, TRẢ NỢ CỦA NSĐP</t>
  </si>
  <si>
    <t>Hạn mức dư nợ vay tối đa của NSĐP</t>
  </si>
  <si>
    <t>Mức dư nợ đầu kỳ (năm)</t>
  </si>
  <si>
    <t>Tỷ lệ mức dư nợ đầu kỳ (năm) so với mức dư nợ vay tối đa của NSĐP (%)</t>
  </si>
  <si>
    <t>Tỷ lệ mức dư nợ đầu kỳ (năm) so với GRDP (%)</t>
  </si>
  <si>
    <t>Trả nợ gốc vay trong kỳ (năm)</t>
  </si>
  <si>
    <t>Từ nguồn vay để trả nợ gốc</t>
  </si>
  <si>
    <t>Từ nguồn bội thu NSĐP; tăng thu, tiết kiệm chi; kết dư ngân sách cấp tỉnh</t>
  </si>
  <si>
    <t>Tổng mức vay trong kỳ (năm)</t>
  </si>
  <si>
    <t>Vay để bù đắp bội chi</t>
  </si>
  <si>
    <t>Vay để trả nợ gốc</t>
  </si>
  <si>
    <t>V</t>
  </si>
  <si>
    <t>Mức dư nợ cuối kỳ (năm)</t>
  </si>
  <si>
    <t>Tỷ lệ mức dư nợ cuối kỳ (năm) so với mức dư nợ vay tối đa của NSĐP (%)</t>
  </si>
  <si>
    <t>Tỷ lệ mức dư nợ cuối kỳ (năm) so với GRDP (%)</t>
  </si>
  <si>
    <t>(2) Cột 8 không chi tiết từng năm.</t>
  </si>
  <si>
    <t>Ghi chú: </t>
  </si>
  <si>
    <t>(1)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</si>
  <si>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r>
      <t>Kế hoạch giai đoạn</t>
    </r>
    <r>
      <rPr>
        <sz val="11"/>
        <rFont val="Times New Roman"/>
        <family val="1"/>
      </rPr>
      <t> </t>
    </r>
    <r>
      <rPr>
        <b/>
        <sz val="11"/>
        <rFont val="Times New Roman"/>
        <family val="1"/>
      </rPr>
      <t>.... (2)</t>
    </r>
  </si>
  <si>
    <r>
      <t>Tốc độ tăng</t>
    </r>
    <r>
      <rPr>
        <sz val="11"/>
        <rFont val="Times New Roman"/>
        <family val="1"/>
      </rPr>
      <t> </t>
    </r>
    <r>
      <rPr>
        <i/>
        <sz val="11"/>
        <rFont val="Times New Roman"/>
        <family val="1"/>
      </rPr>
      <t>thu NSNN trên địa bàn (%)</t>
    </r>
  </si>
  <si>
    <r>
      <t>Tỷ</t>
    </r>
    <r>
      <rPr>
        <sz val="11"/>
        <rFont val="Times New Roman"/>
        <family val="1"/>
      </rPr>
      <t> </t>
    </r>
    <r>
      <rPr>
        <i/>
        <sz val="11"/>
        <rFont val="Times New Roman"/>
        <family val="1"/>
      </rPr>
      <t>trọng trong tổng thu NSNN trên địa bàn (%)</t>
    </r>
  </si>
  <si>
    <r>
      <t>Thu bổ</t>
    </r>
    <r>
      <rPr>
        <sz val="11"/>
        <rFont val="Times New Roman"/>
        <family val="1"/>
      </rPr>
      <t> </t>
    </r>
    <r>
      <rPr>
        <b/>
        <sz val="11"/>
        <rFont val="Times New Roman"/>
        <family val="1"/>
      </rPr>
      <t>sung từ ngân sách cấp trên</t>
    </r>
  </si>
  <si>
    <t>Biểu mẫu số 03</t>
  </si>
  <si>
    <t>DỰ KIẾN PHƯƠNG ÁN PHÂN BỔ KẾ HOẠCH ĐẦU TƯ CÔNG TRUNG HẠN VỐN NSNN GIAI ĐOẠN 05 NĂM...</t>
  </si>
  <si>
    <t>(Dùng cho ngân sách các cấp chính quyền địa phương)</t>
  </si>
  <si>
    <t>Nhu cầu kế hoạch đầu tư công trung hạn vốn NSNN giai đoạn 05 năm…(2)</t>
  </si>
  <si>
    <t>Dự kiến kế hoạch đầu tư công trung hạn vốn NSNN giai đoạn 05 năm ….(2)</t>
  </si>
  <si>
    <t>Ghi chú</t>
  </si>
  <si>
    <t>Tổng số</t>
  </si>
  <si>
    <t>Ngân sách cấp tỉnh (huyện)</t>
  </si>
  <si>
    <t>Ngân sách huyện (xã)</t>
  </si>
  <si>
    <t>TỔNG SỐ</t>
  </si>
  <si>
    <t>Trong đó:</t>
  </si>
  <si>
    <t>Vốn trong nước</t>
  </si>
  <si>
    <t>Vốn nước ngoài</t>
  </si>
  <si>
    <t>CHI ĐẦU TƯ PHÁT TRIỂN</t>
  </si>
  <si>
    <t>Đầu tư từ nguồn thu sử dụng đất</t>
  </si>
  <si>
    <t>Đầu tư từ nguồn thu xổ số kiến thiết</t>
  </si>
  <si>
    <t>Vốn cân đối địa phương theo tiêu chí, định mức</t>
  </si>
  <si>
    <t>Bội chi/ bội thu NSĐP (1)</t>
  </si>
  <si>
    <t>CHI ĐẦU TƯ CÁC CHƯƠNG TRÌNH MỤC TIÊU</t>
  </si>
  <si>
    <t>Các chương trình mục tiêu quốc gia</t>
  </si>
  <si>
    <t>a</t>
  </si>
  <si>
    <t>Chương trình mục tiêu quốc gia...</t>
  </si>
  <si>
    <t>b</t>
  </si>
  <si>
    <t>Chương trình mục tiêu quốc gia …</t>
  </si>
  <si>
    <t>Phân loại như trên</t>
  </si>
  <si>
    <t>...</t>
  </si>
  <si>
    <t>…</t>
  </si>
  <si>
    <t>Các chương trình mục tiêu</t>
  </si>
  <si>
    <t>Chương trình mục tiêu …</t>
  </si>
  <si>
    <t>Chương trình mục tiêu...</t>
  </si>
  <si>
    <t>Phân loại như trên</t>
  </si>
  <si>
    <t>DỰ PHÒNG THEO LUẬT ĐẦU TƯ CÔNG</t>
  </si>
  <si>
    <t>Vốn trong nước</t>
  </si>
  <si>
    <t>Ghi chú: (1) Theo quy định tại Điều 7 Luật NSNN, ngân sách huyện, xã không có bội chi ngân sách địa phương;</t>
  </si>
  <si>
    <t>(2) Ngân sách cấp xã không phải lập chỉ tiêu cột 2, 3, 5, 6.</t>
  </si>
  <si>
    <t>Biểu mẫu số 04</t>
  </si>
  <si>
    <t>TỔNG HỢP DỰ KIẾN KẾ HOẠCH ĐẦU TƯ CÔNG TRUNG HẠN VỐN NSNN CỦA CÁC CƠ QUAN, ĐƠN VỊ VÀ ĐỊA PHƯƠNG GIAI ĐOẠN 05 NĂM...</t>
  </si>
  <si>
    <t>Tên đơn vị</t>
  </si>
  <si>
    <t>Trong đó</t>
  </si>
  <si>
    <t>Đầu tư theo ngành, lĩnh vực của các cơ quan, đơn vị và cân đối NSĐP</t>
  </si>
  <si>
    <t>Chương trình mục tiêu quốc gia</t>
  </si>
  <si>
    <t>Chương trình mục tiêu</t>
  </si>
  <si>
    <t>Cơ quan A</t>
  </si>
  <si>
    <t>Tổ chức B</t>
  </si>
  <si>
    <t>......</t>
  </si>
  <si>
    <t>Huyện A</t>
  </si>
  <si>
    <t>Quận B</t>
  </si>
  <si>
    <t>Thành phố C</t>
  </si>
  <si>
    <t>Thị xã D</t>
  </si>
  <si>
    <t>…….</t>
  </si>
  <si>
    <t>Xã A</t>
  </si>
  <si>
    <t>Phường B</t>
  </si>
  <si>
    <t>Thị trấn C</t>
  </si>
  <si>
    <t>…………</t>
  </si>
  <si>
    <t>Biểu mẫu số 05</t>
  </si>
  <si>
    <t>DANH MỤC CHƯƠNG TRÌNH, DỰ ÁN DỰ KIẾN BỐ TRÍ KẾ HOẠCH ĐẦU TƯ CÔNG TRUNG HẠN VỐN TRONG NƯỚC GIAI ĐOẠN 05 NĂM...</t>
  </si>
  <si>
    <t>Danh mục dự án</t>
  </si>
  <si>
    <t>Địa điểm xây dựng</t>
  </si>
  <si>
    <t>Năng lực thiết kế</t>
  </si>
  <si>
    <t>Thời gian khởi công - hoàn thành</t>
  </si>
  <si>
    <t>Quyết định đầu tư</t>
  </si>
  <si>
    <t>Nhu cầu kế hoạch đầu tư công trung hạn vốn trong nước</t>
  </si>
  <si>
    <t>Dự kiến kế hoạch đầu tư công trung hạn vốn trong nước</t>
  </si>
  <si>
    <t>Số Quyết định, ngày, tháng, năm ban hành</t>
  </si>
  <si>
    <t>Tổng mức đầu tư</t>
  </si>
  <si>
    <t>Tổng số (tất cả các nguồn vốn)</t>
  </si>
  <si>
    <t>Trong đó: NSTW</t>
  </si>
  <si>
    <t>NGÀNH, LĨNH VỰC, CHƯƠNG TRÌNH….</t>
  </si>
  <si>
    <t>CƠ QUAN, ĐƠN VỊ, HUYỆN (XÃ) ….</t>
  </si>
  <si>
    <t>Chuẩn bị đầu tư</t>
  </si>
  <si>
    <t>Dự án A</t>
  </si>
  <si>
    <t>Thực hiện dự án</t>
  </si>
  <si>
    <t>Dự án chuyển tiếp từ giai đoạn 5 năm … sang giai đoạn 5 năm …</t>
  </si>
  <si>
    <t>Dự án B</t>
  </si>
  <si>
    <t>…………..</t>
  </si>
  <si>
    <t>Dự án khởi công mới trong giai đoạn 5 năm ….</t>
  </si>
  <si>
    <t>Dự án C</t>
  </si>
  <si>
    <t>…..</t>
  </si>
  <si>
    <t>Phân loại như trên</t>
  </si>
  <si>
    <t>NGÀNH, LĨNH VỰC, CHƯƠNG TRÌNH…</t>
  </si>
  <si>
    <t>Phân loại như mục A nêu trên</t>
  </si>
  <si>
    <t>……….</t>
  </si>
  <si>
    <t>Biểu mẫu số 06</t>
  </si>
  <si>
    <t>DANH MỤC CHƯƠNG TRÌNH, DỰ ÁN DỰ KIẾN BỐ TRÍ KẾ HOẠCH ĐẦU TƯ CÔNG TRUNG HẠN VỐN NƯỚC NGOÀI (VỐN ODA VÀ VỐN VAY ƯU ĐÃI CỦA CÁC NHÀ TÀI TRỢ NƯỚC NGOÀI) GIAI ĐOẠN 05 NĂM...</t>
  </si>
  <si>
    <t>Nhu cầu kế hoạch đầu tư công trung hạn</t>
  </si>
  <si>
    <t>Dự kiến kế hoạch đầu tư công trung hạn</t>
  </si>
  <si>
    <t>Số Quyết định, ngày tháng, năm ban hành</t>
  </si>
  <si>
    <t>Vốn đối ứng</t>
  </si>
  <si>
    <t>Vốn nước ngoài (tính theo đồng Việt Nam)</t>
  </si>
  <si>
    <t>Vốn nước ngoài (theo Hiệp định)</t>
  </si>
  <si>
    <t>Trong đó: Ngân sách trung ương</t>
  </si>
  <si>
    <t>Tính bằng ngoại tệ</t>
  </si>
  <si>
    <t>Quy đổi ra đồng Việt Nam</t>
  </si>
  <si>
    <t>Ngân sách trung ương</t>
  </si>
  <si>
    <t>Nguồn vốn khác</t>
  </si>
  <si>
    <t>NGÀNH, LĨNH VỰC, CHƯƠNG TRÌNH…..</t>
  </si>
  <si>
    <t>CƠ QUAN, ĐƠN VỊ, HUYỆN (XÃ)….</t>
  </si>
  <si>
    <t> Dự án A</t>
  </si>
  <si>
    <t>Dự án chuyển tiếp từ giai đoạn 5 năm … sang giai đoạn 5 năm ….</t>
  </si>
  <si>
    <t>…………….</t>
  </si>
  <si>
    <t>Biểu mẫu số 07</t>
  </si>
  <si>
    <t>DỰ KIẾN CÂN ĐỐI NGÂN SÁCH ĐỊA PHƯƠNG GIAI ĐOẠN 03 NĂM...</t>
  </si>
  <si>
    <t>(Dùng cho ngân sách tỉnh, thành phố trực thuộc trung ương)</t>
  </si>
  <si>
    <t>Dự toán năm N-1</t>
  </si>
  <si>
    <t>Ước thực hiện năm N-1</t>
  </si>
  <si>
    <t>So sánh</t>
  </si>
  <si>
    <t>Dự toán ngân sách năm N (2)</t>
  </si>
  <si>
    <t>Dự kiến ngân sách năm N+1</t>
  </si>
  <si>
    <t>Dự kiến ngân sách năm N+2</t>
  </si>
  <si>
    <t>Tuyệt đối</t>
  </si>
  <si>
    <t>Tương đối</t>
  </si>
  <si>
    <t>3= 2-1</t>
  </si>
  <si>
    <t>4= 2/1</t>
  </si>
  <si>
    <t>TỔNG NGUỒN THU NSĐP</t>
  </si>
  <si>
    <t>Thu NSĐP được hưởng theo phân cấp</t>
  </si>
  <si>
    <t>Thu bổ sung từ ngân sách cấp trên</t>
  </si>
  <si>
    <t>Thu bổ sung cân đối ngân sách</t>
  </si>
  <si>
    <t>Thu từ quỹ dự trữ tài chính</t>
  </si>
  <si>
    <t>Thu kết dư</t>
  </si>
  <si>
    <t>Thu chuyển nguồn từ năm trước chuyển sang</t>
  </si>
  <si>
    <t>Tổng chi cân đối ngân sách địa phương</t>
  </si>
  <si>
    <t>Chi trả nợ lãi các khoản do chính quyền địa phương vay</t>
  </si>
  <si>
    <t>Chi bổ sung quỹ dự trữ tài chính</t>
  </si>
  <si>
    <t>Dự phòng ngân sách</t>
  </si>
  <si>
    <t>Chi các chương trình mục tiêu</t>
  </si>
  <si>
    <t>Chi các chương trình mục tiêu quốc gia</t>
  </si>
  <si>
    <t>Chi các chương trình mục tiêu, nhiệm vụ</t>
  </si>
  <si>
    <t>Chi chuyển nguồn sang năm sau</t>
  </si>
  <si>
    <t>BỘI CHI NSĐP/BỘI THU NSĐP</t>
  </si>
  <si>
    <t>TỔNG MỨC VAY, TRẢ NỢ CỦA NSĐP</t>
  </si>
  <si>
    <t>Hạn mức dư nợ vay tối đa của NSĐP</t>
  </si>
  <si>
    <t>Mức dư nợ đầu kỳ (năm)</t>
  </si>
  <si>
    <t>Trả nợ gốc vay của NSĐP</t>
  </si>
  <si>
    <t>Từ nguồn bội thu, tăng thu, tiết kiệm chi, kết dư ngân sách cấp tỉnh</t>
  </si>
  <si>
    <t>Tổng mức vay của NSĐP</t>
  </si>
  <si>
    <t>Vay để bù đắp bội chi</t>
  </si>
  <si>
    <t>Vay để trả nợ gốc</t>
  </si>
  <si>
    <t>(2) Năm N là năm dự toán ngân sách; theo đó, các năm N-1, N+1 và N+2 là năm trước, năm sau và năm sau nữa của năm dự toán ngân sách.</t>
  </si>
  <si>
    <t>Biểu mẫu số 08</t>
  </si>
  <si>
    <t>DỰ KIẾN THU NGÂN SÁCH NHÀ NƯỚC THEO LĨNH VỰC GIAI ĐOẠN 03 NĂM...</t>
  </si>
  <si>
    <t>(Dùng cho ngân sách tỉnh, thành phố trực thuộc Trung ương)</t>
  </si>
  <si>
    <t>Nội dung</t>
  </si>
  <si>
    <t>Dự toán ngân sách năm N</t>
  </si>
  <si>
    <t>Dự kiến ngân sách năm N+1</t>
  </si>
  <si>
    <t>Dự kiến ngân sách năm N+2</t>
  </si>
  <si>
    <t>3=2/1</t>
  </si>
  <si>
    <t>TỔNG THU NGÂN SÁCH NHÀ NƯỚC</t>
  </si>
  <si>
    <t>Tỷ lệ thu NSNN so với CRDP (%)</t>
  </si>
  <si>
    <t>Tỷ lệ thu từ thuế, phí so với GRDP (%)</t>
  </si>
  <si>
    <t>Tốc độ tăng thu (%)</t>
  </si>
  <si>
    <t>Tỷ trọng trong tổng thu NSNN (%)</t>
  </si>
  <si>
    <t>Thu từ khu vực doanh nghiệp nhà nước do trung ương quản lý (1)</t>
  </si>
  <si>
    <t>Thu từ khu vực doanh nghiệp nhà nước do địa phương quản lý (2)</t>
  </si>
  <si>
    <t>Thu từ khu vực doanh nghiệp có vốn đầu tư nước ngoài (3)</t>
  </si>
  <si>
    <t>Thu từ khu vực kinh tế ngoài quốc doanh (4)</t>
  </si>
  <si>
    <t>Thuế thu nhập cá nhân</t>
  </si>
  <si>
    <t>Thuế bảo vệ môi trường</t>
  </si>
  <si>
    <t>Lệ phí trước bạ</t>
  </si>
  <si>
    <t>Thu tiền sử dụng đất</t>
  </si>
  <si>
    <t>Thu từ hoạt động xổ số kiến thiết</t>
  </si>
  <si>
    <t>Thu hồi vốn, thu cổ tức, lợi nhuận sau thuế, chênh lệch thu, chi NHNN (5)</t>
  </si>
  <si>
    <t>Thu từ dầu thô</t>
  </si>
  <si>
    <t>Thu từ hoạt động xuất, nhập khẩu</t>
  </si>
  <si>
    <t>Thu viện trợ</t>
  </si>
  <si>
    <t>Ghi chú:</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</si>
  <si>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</si>
  <si>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</si>
  <si>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</si>
  <si>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</si>
  <si>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chênh lệch thu, chi Ngân hàng Nhà nước chỉ áp dụng đối với thành phố Hà Nội.</t>
  </si>
  <si>
    <t>Biểu mẫu số 09</t>
  </si>
  <si>
    <t>DỰ KIẾN CÂN ĐỐI NGUỒN THU, CHI NGÂN SÁCH CẤP TỈNH VÀ NGÂN SÁCH HUYỆN GIAI ĐOẠN 03 NĂM...</t>
  </si>
  <si>
    <t>Dự toán năm N-1</t>
  </si>
  <si>
    <t>Ước thực hiện năm N-1</t>
  </si>
  <si>
    <t>Dự toán ngân sách năm N (1)</t>
  </si>
  <si>
    <t>NGÂN SÁCH CẤP TỈNH</t>
  </si>
  <si>
    <t>Nguồn thu ngân sách</t>
  </si>
  <si>
    <t>Thu ngân sách được hưởng theo phân cấp</t>
  </si>
  <si>
    <t>Thu bổ sung từ ngân sách cấp trên</t>
  </si>
  <si>
    <t>Thu kết dư</t>
  </si>
  <si>
    <t>Chi ngân sách</t>
  </si>
  <si>
    <t>Chi thuộc nhiệm vụ của ngân sách cấp tỉnh</t>
  </si>
  <si>
    <t>Chi bổ sung cho ngân sách cấp dưới</t>
  </si>
  <si>
    <t>Chi bổ sung cân đối ngân sách</t>
  </si>
  <si>
    <t>Chi bổ sung có mục tiêu</t>
  </si>
  <si>
    <t>Bội chi NSĐP/Bội thu NSĐP</t>
  </si>
  <si>
    <t>NGÂN SÁCH HUYỆN</t>
  </si>
  <si>
    <t>Chi ngân sách</t>
  </si>
  <si>
    <t>Chi thuộc nhiệm vụ của ngân sách huyện</t>
  </si>
  <si>
    <t>Chi bổ sung cho ngân sách cấp dưới</t>
  </si>
  <si>
    <r>
      <rPr>
        <b/>
        <i/>
        <sz val="11"/>
        <rFont val="Times New Roman"/>
        <family val="1"/>
      </rPr>
      <t>Ghi chú:</t>
    </r>
    <r>
      <rPr>
        <i/>
        <sz val="11"/>
        <rFont val="Times New Roman"/>
        <family val="1"/>
      </rPr>
      <t xml:space="preserve"> (1) Năm N là năm dự toán ngân sách; theo đó, các năm N-1, N+1 và N+2 là năm trước, năm sau và năm sau nữa của năm dự toán ngân sách.</t>
    </r>
  </si>
  <si>
    <t>Biểu mẫu số 10</t>
  </si>
  <si>
    <t>DỰ KIẾN CHI NGÂN SÁCH CẤP TỈNH THEO CƠ CẤU CHI GIAI ĐOẠN 03 NĂM...</t>
  </si>
  <si>
    <t>TỔNG CHI NGÂN SÁCH CẤP TỈNH</t>
  </si>
  <si>
    <t>CHI BỔ SUNG CHO NGÂN SÁCH HUYỆN</t>
  </si>
  <si>
    <t>Chi bổ sung cân đối ngân sách</t>
  </si>
  <si>
    <t>CHI NGÂN SÁCH CẤP TỈNH THEO LĨNH VỰC</t>
  </si>
  <si>
    <t>Chi đầu tư cho các dự án</t>
  </si>
  <si>
    <t>Chi các chương trình mục tiêu, nhiệm vụ</t>
  </si>
  <si>
    <t>Chi đầu tư và hỗ trợ vốn cho các doanh nghiệp cung cấp sản phẩm, dịch vụ công ích do Nhà nước đặt hàng, các tổ chức kinh tế, các tổ chức tài chính của địa phương theo quy định của pháp luật.</t>
  </si>
  <si>
    <t>Chi thường xuyên</t>
  </si>
  <si>
    <r>
      <t>(2) Năm N là năm dự toán ngân sách; theo đó, các năm N-1,</t>
    </r>
    <r>
      <rPr>
        <sz val="11"/>
        <rFont val="Times New Roman"/>
        <family val="1"/>
      </rPr>
      <t> </t>
    </r>
    <r>
      <rPr>
        <i/>
        <sz val="11"/>
        <rFont val="Times New Roman"/>
        <family val="1"/>
      </rPr>
      <t>N+1 và N+2 là năm trước, năm sau và năm sau nữa của năm dự toán ngân sách.</t>
    </r>
  </si>
  <si>
    <r>
      <t>Ghi chú:</t>
    </r>
    <r>
      <rPr>
        <i/>
        <sz val="11"/>
        <rFont val="Times New Roman"/>
        <family val="1"/>
      </rPr>
      <t/>
    </r>
  </si>
  <si>
    <t> (1) Năm đầu thời kỳ ấn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</si>
  <si>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Biểu mẫu số 11</t>
  </si>
  <si>
    <t>DỰ KIẾN KẾ HOẠCH ĐẦU TƯ VỐN NGÂN SÁCH ĐỊA PHƯƠNG GIAI ĐOẠN 03 NĂM...</t>
  </si>
  <si>
    <t>(Dùng cho ngân sách tỉnh, thành phố trực thuộc trung ương)</t>
  </si>
  <si>
    <t>Đơn vị: Triệu đồng</t>
  </si>
  <si>
    <t>Kế hoạch năm N-1</t>
  </si>
  <si>
    <t>Dự kiến kế hoạch đầu tư giai đoạn….</t>
  </si>
  <si>
    <t>Dự toán ngân sách năm N (3)</t>
  </si>
  <si>
    <t>CHI ĐẦU TƯ CỦA NGÂN SÁCH CẤP TỈNH VÀ NGÂN SÁCH HUYỆN (1)</t>
  </si>
  <si>
    <t>Ngân sách cấp tỉnh (2)</t>
  </si>
  <si>
    <t>Đầu tư từ nguồn thu xổ số kiến thiết</t>
  </si>
  <si>
    <t>c</t>
  </si>
  <si>
    <t>Vốn cân đối địa phương theo tiêu chí, định mức</t>
  </si>
  <si>
    <t>Bội chi/ bội thu NSĐP</t>
  </si>
  <si>
    <t>Ngân sách huyện</t>
  </si>
  <si>
    <t>Đầu tư từ nguồn thu xổ số kiến thiết (nếu có)</t>
  </si>
  <si>
    <t>Vốn cân đối địa phương theo tiêu chí, định mức</t>
  </si>
  <si>
    <t>- Vốn trong nước</t>
  </si>
  <si>
    <t>- Vốn nước ngoài</t>
  </si>
  <si>
    <t>Chương trình mục tiêu quốc gia...</t>
  </si>
  <si>
    <t>Các chương trình mục tiêu….</t>
  </si>
  <si>
    <t>Vốn nước ngoài</t>
  </si>
  <si>
    <t>(2)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</si>
  <si>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(3) Năm N là năm dự toán ngân sách; theo đó, các năm N-1, N+1 và N+2 là năm trước, năm sau và năm sau nữa của năm dự toán ngân sách.</t>
  </si>
  <si>
    <r>
      <t>Đầu tư</t>
    </r>
    <r>
      <rPr>
        <sz val="11"/>
        <rFont val="Times New Roman"/>
        <family val="1"/>
      </rPr>
      <t> </t>
    </r>
    <r>
      <rPr>
        <i/>
        <sz val="11"/>
        <rFont val="Times New Roman"/>
        <family val="1"/>
      </rPr>
      <t>từ nguồn thu sử dụng đất</t>
    </r>
  </si>
  <si>
    <r>
      <t>Đầu tư từ nguồn thu sử</t>
    </r>
    <r>
      <rPr>
        <sz val="11"/>
        <rFont val="Times New Roman"/>
        <family val="1"/>
      </rPr>
      <t> </t>
    </r>
    <r>
      <rPr>
        <i/>
        <sz val="11"/>
        <rFont val="Times New Roman"/>
        <family val="1"/>
      </rPr>
      <t>dụng đất</t>
    </r>
  </si>
  <si>
    <t>(1) Chưa bao gồm chi đầu tư cho các chương trình mục tiêu quốc gia và các chương trình mục tiêu tại mục II.</t>
  </si>
  <si>
    <t>Biểu mẫu số 12</t>
  </si>
  <si>
    <t>Nội dung (1)</t>
  </si>
  <si>
    <t>Dự toán năm...</t>
  </si>
  <si>
    <t>Ước thực hiện năm...</t>
  </si>
  <si>
    <t>Tương đối (%)</t>
  </si>
  <si>
    <t>3=2-1</t>
  </si>
  <si>
    <t>4=2/1</t>
  </si>
  <si>
    <t>Thu NSĐP được hưởng theo phân cấp</t>
  </si>
  <si>
    <t>Thu NSĐP hưởng 100%</t>
  </si>
  <si>
    <t>Thu NSĐP hưởng từ các khoản thu phân chia</t>
  </si>
  <si>
    <t>Thu bổ sung từ ngân sách cấp trên</t>
  </si>
  <si>
    <t>Thu từ quỹ dự trữ tài chính</t>
  </si>
  <si>
    <t>Tổng chi cân đối NSĐP</t>
  </si>
  <si>
    <t>Chi đầu tư phát triển</t>
  </si>
  <si>
    <t>CHI TRẢ NỢ GỐC CỦA NSĐP</t>
  </si>
  <si>
    <t>TỔNG MỨC VAY CỦA NSĐP</t>
  </si>
  <si>
    <t>Vay để trả nợ gốc</t>
  </si>
  <si>
    <r>
      <t>Vay</t>
    </r>
    <r>
      <rPr>
        <sz val="11"/>
        <rFont val="Times New Roman"/>
        <family val="1"/>
      </rPr>
      <t> </t>
    </r>
    <r>
      <rPr>
        <b/>
        <sz val="11"/>
        <rFont val="Times New Roman"/>
        <family val="1"/>
      </rPr>
      <t>để bù đắp bội chi</t>
    </r>
  </si>
  <si>
    <r>
      <t>Ghi chú:</t>
    </r>
    <r>
      <rPr>
        <i/>
        <sz val="11"/>
        <rFont val="Times New Roman"/>
        <family val="1"/>
      </rPr>
      <t> (1)Theo quy định tại Điều 7, Điều 11 Luật NSNN, ngân sách huyện, xã không có nhiệm vụ chi trả nợ lãi vay, thu - chi quỹ dự trữ tài chính, bội chi NSĐP, vay và chi</t>
    </r>
    <r>
      <rPr>
        <sz val="11"/>
        <rFont val="Times New Roman"/>
        <family val="1"/>
      </rPr>
      <t> </t>
    </r>
    <r>
      <rPr>
        <i/>
        <sz val="11"/>
        <rFont val="Times New Roman"/>
        <family val="1"/>
      </rPr>
      <t>trả nợ gốc.</t>
    </r>
  </si>
  <si>
    <t>Biểu mẫu số 13</t>
  </si>
  <si>
    <t>So sánh (%)</t>
  </si>
  <si>
    <t>Tổng thu NSNN</t>
  </si>
  <si>
    <t>Thu NSĐP</t>
  </si>
  <si>
    <t>5=3/1</t>
  </si>
  <si>
    <t>6=4/2</t>
  </si>
  <si>
    <t>TỔNG THU NSNN</t>
  </si>
  <si>
    <t>Thu từ khu vực DNNN do trung ương quản lý (1)</t>
  </si>
  <si>
    <t>(Chi tiết theo sắc thuế)</t>
  </si>
  <si>
    <t>Thu từ khu vực DNNN do địa phương quản lý (2)</t>
  </si>
  <si>
    <t>Thu từ khu vực doanh nghiệp có vốn đầu tư nước ngoài(3)</t>
  </si>
  <si>
    <t>(Chi tiết theo sắc thuế)</t>
  </si>
  <si>
    <t>Thu từ khu vực kinh tế ngoài quốc doanh (4)</t>
  </si>
  <si>
    <t>Thuế BVMT thu từ hàng hóa sản xuất, kinh doanh trong nước</t>
  </si>
  <si>
    <t>Thuế BVMT thu từ hàng hóa nhập khẩu</t>
  </si>
  <si>
    <t>Lệ phí trước bạ</t>
  </si>
  <si>
    <t>Thu phí, lệ phí</t>
  </si>
  <si>
    <t>Phí và lệ phí trung ương</t>
  </si>
  <si>
    <t>Phí và lệ phí huyện</t>
  </si>
  <si>
    <t>Phí và lệ phí xã, phường</t>
  </si>
  <si>
    <t>Thuế sử dụng đất nông nghiệp</t>
  </si>
  <si>
    <t>Thuế sử dụng đất phi nông nghiệp</t>
  </si>
  <si>
    <t>Tiền cho thuê đất, thuê mặt nước</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</si>
  <si>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</si>
  <si>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</si>
  <si>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</si>
  <si>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</si>
  <si>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</si>
  <si>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(5)</t>
  </si>
  <si>
    <t>Chênh lệch thu chi Ngân hàng Nhà nước (5)</t>
  </si>
  <si>
    <t>Thu từ hoạt động xuất, nhập khẩu</t>
  </si>
  <si>
    <t>Thuế GTGT thu từ hàng hóa nhập khẩu</t>
  </si>
  <si>
    <t>Thuế xuất khẩu</t>
  </si>
  <si>
    <t>Thuế nhập khẩu</t>
  </si>
  <si>
    <t>Thuế TTĐB thu từ hàng hóa nhập khẩu</t>
  </si>
  <si>
    <t>Thuế BVMT thu từ hàng hóa nhập khẩu</t>
  </si>
  <si>
    <t>Thu khác</t>
  </si>
  <si>
    <t>Thu viện trợ</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</si>
  <si>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</si>
  <si>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 thu từ dầu thô, thu từ hoạt động xuất, nhập khẩu. Thu chênh lệch thu, chi Ngân hàng Nhà nước chỉ áp dụng đối với thành phố Hà Nội.</t>
  </si>
  <si>
    <r>
      <t>Phí và lệ phí</t>
    </r>
    <r>
      <rPr>
        <sz val="11"/>
        <rFont val="Times New Roman"/>
        <family val="1"/>
      </rPr>
      <t> </t>
    </r>
    <r>
      <rPr>
        <i/>
        <sz val="11"/>
        <rFont val="Times New Roman"/>
        <family val="1"/>
      </rPr>
      <t>tỉnh</t>
    </r>
  </si>
  <si>
    <t>Biểu mẫu số 14</t>
  </si>
  <si>
    <t>Tương đối (%)</t>
  </si>
  <si>
    <t>CHI CÂN ĐỐI NSĐP</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</si>
  <si>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</si>
  <si>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</si>
  <si>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</si>
  <si>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</si>
  <si>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</si>
  <si>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</si>
  <si>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</si>
  <si>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</si>
  <si>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</si>
  <si>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VI</t>
  </si>
  <si>
    <t>Chi tạo nguồn, điều chỉnh tiền lương</t>
  </si>
  <si>
    <t>CHI CÁC CHƯƠNG TRÌNH MỤC TIÊU</t>
  </si>
  <si>
    <t>(Chi tiết theo từng Chương trình mục tiêu quốc gia)</t>
  </si>
  <si>
    <t>(Chi tiết theo từng chương trình mục tiêu, nhiệm vụ)</t>
  </si>
  <si>
    <t>CHI CHUYỂN NGUỒN SANG NĂM SAU</t>
  </si>
  <si>
    <r>
      <t>Ghi chú: </t>
    </r>
    <r>
      <rPr>
        <i/>
        <sz val="11"/>
        <rFont val="Times New Roman"/>
        <family val="1"/>
      </rPr>
      <t>(1) Theo quy định tại Điều 7, Điều 11 và Điều 39 Luật NSNN, ngân sách huyện, xã không có nhiệm vụ chi</t>
    </r>
    <r>
      <rPr>
        <sz val="11"/>
        <rFont val="Times New Roman"/>
        <family val="1"/>
      </rPr>
      <t> </t>
    </r>
    <r>
      <rPr>
        <i/>
        <sz val="11"/>
        <rFont val="Times New Roman"/>
        <family val="1"/>
      </rPr>
      <t>nghiên cứu khoa học và công nghệ, chi trả</t>
    </r>
    <r>
      <rPr>
        <sz val="11"/>
        <rFont val="Times New Roman"/>
        <family val="1"/>
      </rPr>
      <t> </t>
    </r>
    <r>
      <rPr>
        <i/>
        <sz val="11"/>
        <rFont val="Times New Roman"/>
        <family val="1"/>
      </rPr>
      <t>lãi vay, chi bổ sung quỹ dự trữ tài chính.</t>
    </r>
  </si>
  <si>
    <t>Biểu mẫu số 15</t>
  </si>
  <si>
    <t>So sánh (3)</t>
  </si>
  <si>
    <t>Tương đối (%)</t>
  </si>
  <si>
    <t>TỔNG NGUỒN THU NSĐP</t>
  </si>
  <si>
    <t>Thu chuyển nguồn từ năm trước chuyển sang</t>
  </si>
  <si>
    <t>Chi trả nợ lãi các khoản do chính quyền địa phương vay (2)</t>
  </si>
  <si>
    <t>Chi bổ sung quỹ dự trữ tài chính (2)</t>
  </si>
  <si>
    <t>Chi các chương trình mục tiêu</t>
  </si>
  <si>
    <t>Chi chuyển nguồn sang năm sau</t>
  </si>
  <si>
    <t>BỘI CHI NSĐP/BỘI THU NSĐP (2)</t>
  </si>
  <si>
    <t>CHI TRẢ NỢ GỐC CỦA NSĐP (2)</t>
  </si>
  <si>
    <t>Từ nguồn bội thu, tăng thu, tiết kiệm chi, kết dư ngân sách cấp tỉnh</t>
  </si>
  <si>
    <t>TỔNG MỨC VAY CỦA NSĐP (2)</t>
  </si>
  <si>
    <t>Vay để trả nợ gốc</t>
  </si>
  <si>
    <t>(2) Theo quy định tại Điều 7, Điều 11 Luật NSNN, ngân sách huyện, xã không có nhiệm vụ chi trả nợ lãi vay, thu - chi quỹ dự trữ tài chính, bội chi NSĐP, vay và chi trả nợ gốc.</t>
  </si>
  <si>
    <t>(3) Đối với các chỉ tiêu thu NSĐP, so sánh dự toán năm kế hoạch với ước thực hiện năm hiện hành. Đối với các chỉ tiêu chi NSĐP, so sánh dự toán năm kế hoạch với dự toán năm hiện hành.</t>
  </si>
  <si>
    <r>
      <t>TỔNG</t>
    </r>
    <r>
      <rPr>
        <sz val="11"/>
        <rFont val="Times New Roman"/>
        <family val="1"/>
      </rPr>
      <t> </t>
    </r>
    <r>
      <rPr>
        <b/>
        <sz val="11"/>
        <rFont val="Times New Roman"/>
        <family val="1"/>
      </rPr>
      <t>CHI</t>
    </r>
    <r>
      <rPr>
        <sz val="11"/>
        <rFont val="Times New Roman"/>
        <family val="1"/>
      </rPr>
      <t> </t>
    </r>
    <r>
      <rPr>
        <b/>
        <sz val="11"/>
        <rFont val="Times New Roman"/>
        <family val="1"/>
      </rPr>
      <t>NSĐP</t>
    </r>
  </si>
  <si>
    <t>Biểu mẫu số 16</t>
  </si>
  <si>
    <t>Tổng thuNSNN</t>
  </si>
  <si>
    <t>Thu NSĐP</t>
  </si>
  <si>
    <t>Thu từ khu vực DNNN do trung ương quản lý (1)</t>
  </si>
  <si>
    <t>Thu từ khu vực DNNN do địa phương quản lý (2)</t>
  </si>
  <si>
    <t>Thuế bảo vệ môi trường</t>
  </si>
  <si>
    <t>Thuế BVMT thu từ hàng hóa sản xuất, kinh doanh trong nước</t>
  </si>
  <si>
    <t>Lệ phí trước bạ</t>
  </si>
  <si>
    <t>Phí và lệ phí trung ương</t>
  </si>
  <si>
    <t>Phí và lệ phí tỉnh</t>
  </si>
  <si>
    <t>Phí và lệ phí huyện</t>
  </si>
  <si>
    <t>Thuế sử dụng đất phi nông nghiệp</t>
  </si>
  <si>
    <t>Thu từ hoạt động xổ số kiến thiết</t>
  </si>
  <si>
    <t>Lợi nhuận được chia của Nhà nước và lợi nhuận sau thuế còn lại sau khi trích lập các quỹ của doanh nghiệp nhà nước (5)</t>
  </si>
  <si>
    <t>Chênh lệch thu chi Ngân hàng Nhà nước (5)</t>
  </si>
  <si>
    <t>Thuế GTGT thu từ hàng hóa nhập khẩu</t>
  </si>
  <si>
    <t>Thuế xuất khẩu</t>
  </si>
  <si>
    <t>Thuế TTĐB thu từ hàng hóa nhập khẩu</t>
  </si>
  <si>
    <t>Thuế BVMT thu từ hàng hóa nhập khẩu</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</si>
  <si>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</si>
  <si>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 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</si>
  <si>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</si>
  <si>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Thu tiền sử dụng đất</t>
  </si>
  <si>
    <t>Biểu mẫu số 17</t>
  </si>
  <si>
    <t>Trong đó: Chia theo lĩnh vực</t>
  </si>
  <si>
    <t>Chi khoa học và công nghệ (2)</t>
  </si>
  <si>
    <t>CHI CHUYỂN NGUỒN SANG NĂM SAU</t>
  </si>
  <si>
    <t>(2) Theo quy định tại Điều 7, Điều 11 và Điều 39 Luật NSNN, ngân sách huyện, xã không có nhiệm vụ chi nghiên cứu khoa học và công nghệ, chi trả lãi vay, chi bổ sung quỹ dự trữ tài chính.</t>
  </si>
  <si>
    <r>
      <t>Chi đầu tư từ</t>
    </r>
    <r>
      <rPr>
        <sz val="11"/>
        <color indexed="63"/>
        <rFont val="Times New Roman"/>
        <family val="1"/>
      </rPr>
      <t> </t>
    </r>
    <r>
      <rPr>
        <i/>
        <sz val="11"/>
        <color indexed="63"/>
        <rFont val="Times New Roman"/>
        <family val="1"/>
      </rPr>
      <t>nguồn thu tiền sử dụng đất</t>
    </r>
  </si>
  <si>
    <r>
      <t>Ghi chú:</t>
    </r>
    <r>
      <rPr>
        <i/>
        <sz val="11"/>
        <color indexed="63"/>
        <rFont val="Times New Roman"/>
        <family val="1"/>
      </rPr>
      <t> </t>
    </r>
  </si>
  <si>
    <t>(1)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</si>
  <si>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Biểu mẫu số 18</t>
  </si>
  <si>
    <t>BỘI CHI VÀ PHƯƠNG ÁN VAY - TRẢ NỢ NGÂN SÁCH ĐỊA PHƯƠNG NĂM...</t>
  </si>
  <si>
    <t>THU NSĐP</t>
  </si>
  <si>
    <t>BỘI CHI NSĐP/BỘI THU NSĐP</t>
  </si>
  <si>
    <t>HẠN MỨC DƯ NỢ VAY TỐI ĐA CỦA NSĐP THEO QUY ĐỊNH</t>
  </si>
  <si>
    <t>KẾ HOẠCH VAY, TRẢ NỢ GỐC</t>
  </si>
  <si>
    <t>Tổng dư nợ đầu năm</t>
  </si>
  <si>
    <t>Tỷ lệ mức dư nợ đầu kỳ so với mức dư nợ vay tối đa của ngân sách địa phương (%)</t>
  </si>
  <si>
    <t>Trái phiếu chính quyền địa phương</t>
  </si>
  <si>
    <t>Vay lại từ nguồn Chính phủ vay ngoài nước</t>
  </si>
  <si>
    <t>Vay trong nước khác</t>
  </si>
  <si>
    <t>Trả nợ gốc vay trong năm</t>
  </si>
  <si>
    <t>Theo nguồn vốn vay</t>
  </si>
  <si>
    <t>Vốn khác</t>
  </si>
  <si>
    <t>Theo nguồn trả nợ</t>
  </si>
  <si>
    <t>Từ nguồn vay để trả nợ gốc</t>
  </si>
  <si>
    <t>Bội thu NSĐP</t>
  </si>
  <si>
    <t>Tăng thu, tiết kiệm chi</t>
  </si>
  <si>
    <t>Kết dư ngân sách cấp tỉnh</t>
  </si>
  <si>
    <t>Tổng mức vay trong năm</t>
  </si>
  <si>
    <t>Theo mục đích vay</t>
  </si>
  <si>
    <t>Theo nguồn vay</t>
  </si>
  <si>
    <t>Vốn trong nước khác</t>
  </si>
  <si>
    <t>Tổng dư nợ cuối năm</t>
  </si>
  <si>
    <t>Tỷ lệ mức dư nợ cuối kỳ so với mức dư nợ vay tối đa của ngân sách địa phương (%)</t>
  </si>
  <si>
    <t>Vốn khác</t>
  </si>
  <si>
    <t>TRẢ NỢ LÃI, PHÍ</t>
  </si>
  <si>
    <t>Vay lại từ nguồn Chính phủ vay ngoài nước</t>
  </si>
  <si>
    <r>
      <t>Ước</t>
    </r>
    <r>
      <rPr>
        <sz val="11"/>
        <rFont val="Times New Roman"/>
        <family val="1"/>
      </rPr>
      <t> </t>
    </r>
    <r>
      <rPr>
        <b/>
        <sz val="11"/>
        <rFont val="Times New Roman"/>
        <family val="1"/>
      </rPr>
      <t>thực hiện năm...</t>
    </r>
  </si>
  <si>
    <r>
      <t>Dự</t>
    </r>
    <r>
      <rPr>
        <sz val="11"/>
        <rFont val="Times New Roman"/>
        <family val="1"/>
      </rPr>
      <t> </t>
    </r>
    <r>
      <rPr>
        <b/>
        <sz val="11"/>
        <rFont val="Times New Roman"/>
        <family val="1"/>
      </rPr>
      <t>toán năm...</t>
    </r>
  </si>
  <si>
    <t>Biểu mẫu số 19</t>
  </si>
  <si>
    <t>(Dùng cho ngân sách tỉnh, huyện)</t>
  </si>
  <si>
    <t>NGÂN SÁCH CẤP TỈNH (HUYỆN)</t>
  </si>
  <si>
    <t>Thu từ quỹ dự trữ tài chính (1)</t>
  </si>
  <si>
    <t>Chi thuộc nhiệm vụ của ngân sách cấp tỉnh (huyện)</t>
  </si>
  <si>
    <t>NGÂN SÁCH HUYỆN (XÃ)</t>
  </si>
  <si>
    <t>Chi thuộc nhiệm vụ của ngân sách cấp huyện (xã)</t>
  </si>
  <si>
    <t>Chi bổ sung cho ngân sách cấp dưới (2)</t>
  </si>
  <si>
    <t>(2) Ngân sách xã không có nhiệm vụ chi bổ sung cho ngân sách cấp dưới.</t>
  </si>
  <si>
    <t> (1) Theo quy định tại Điều 7, Điều 11 Luật NSNN, ngân sách huyện không có thu từ quỹ dự trữ tài chính, bội chi NSĐP.</t>
  </si>
  <si>
    <t>Biểu mẫu số 20</t>
  </si>
  <si>
    <t>Tên đơn vị (1)</t>
  </si>
  <si>
    <t>Bao gồm</t>
  </si>
  <si>
    <t>Tổng số</t>
  </si>
  <si>
    <t>Thu từ hoạt động XNK</t>
  </si>
  <si>
    <t>Thu từ dầu thô</t>
  </si>
  <si>
    <t>9=5/1</t>
  </si>
  <si>
    <t>10=6/2</t>
  </si>
  <si>
    <t>11=7/3</t>
  </si>
  <si>
    <t>12=8/4</t>
  </si>
  <si>
    <t>TỔNG SỐ (2)</t>
  </si>
  <si>
    <t>………</t>
  </si>
  <si>
    <t>(2) Thu NSNN trên địa bàn huyện, xã không có thu từ dầu thô, thu từ hoạt động xuất, nhập khẩu. Các chỉ tiêu cột 3, 4, 7, 8 chỉ ghi dòng tổng số.</t>
  </si>
  <si>
    <r>
      <t>Ghi chú:</t>
    </r>
    <r>
      <rPr>
        <sz val="11"/>
        <rFont val="Times New Roman"/>
        <family val="1"/>
      </rPr>
      <t/>
    </r>
  </si>
  <si>
    <t> (1) Thu ngân sách nhà nước trên địa bàn tỉnh chi tiết đến từng huyện; thu ngân sách nhà nước trên địa bàn huyện chi tiết đến từng xã.</t>
  </si>
  <si>
    <t>Biểu mẫu số 21</t>
  </si>
  <si>
    <t>Tổng thu NSNN trên địa bàn</t>
  </si>
  <si>
    <t>(2) Thu nội địa chi tiết từng khu vực thu, khoản thu.</t>
  </si>
  <si>
    <t>(3) Thu NSNN trên địa bàn huyện, xã không có thu từ dầu thô, thu từ hoạt động xuất, nhập khẩu. Các chỉ tiêu cột 6, 7, 8, 9, 10, 11, 12, 13 chỉ ghi dòng tổng số.</t>
  </si>
  <si>
    <t>Biểu mẫu số 22</t>
  </si>
  <si>
    <t>ĐÁNH GIÁ THỰC HIỆN CHI NGÂN SÁCH ĐỊA PHƯƠNG, CHI NGÂN SÁCH CẤP TỈNH (HUYỆN) VÀ CHI NGÂN SÁCH HUYỆN (XÃ) THEO CƠ CẤU CHI NĂM...</t>
  </si>
  <si>
    <t>Ngân sách địa phương</t>
  </si>
  <si>
    <t>1=2+3</t>
  </si>
  <si>
    <t>4=5+6</t>
  </si>
  <si>
    <t>7=4/1</t>
  </si>
  <si>
    <t>8=5/2</t>
  </si>
  <si>
    <t>9=6/3</t>
  </si>
  <si>
    <t>Chi đầu tư từ nguồn thu xổ số kiến thiết</t>
  </si>
  <si>
    <r>
      <t xml:space="preserve">Ghi chú: </t>
    </r>
    <r>
      <rPr>
        <i/>
        <sz val="12"/>
        <color indexed="8"/>
        <rFont val="Times New Roman"/>
        <family val="1"/>
      </rPr>
      <t>(1) Theo quy định tại Điều 7, Điều 11 và Điều 39 Luật NSNN, ngân sách huyện, xã không có nhiệm vụ chi nghiên cứu khoa học và công nghệ, chi trả lãi vay, chi bổ sung quỹ dự trữ tài chính.</t>
    </r>
  </si>
  <si>
    <t>Biểu mẫu số 23</t>
  </si>
  <si>
    <t>ĐÁNH GIÁ THỰC HIỆN CHI NGÂN SÁCH CẤP TỈNH (HUYỆN, XÃ) THEO LĨNH VỰC NĂM...</t>
  </si>
  <si>
    <t>CHI BỔ SUNG CÂN ĐỐI CHO NGÂN SÁCH CẤP DƯỚI (1)</t>
  </si>
  <si>
    <t>CHI NGÂN SÁCH CẤP TỈNH (HUYỆN, XÃ) THEO LĨNH VỰC</t>
  </si>
  <si>
    <t xml:space="preserve">Chi đầu tư phát triển </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</si>
  <si>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</si>
  <si>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</si>
  <si>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</si>
  <si>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</si>
  <si>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</si>
  <si>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</si>
  <si>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</si>
  <si>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</si>
  <si>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</si>
  <si>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</si>
  <si>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</si>
  <si>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thường xuyên khác</t>
  </si>
  <si>
    <t>(2) Theo quy định tại Điều 7, Điều 11 và Điều 39 Luật NSNN, ngân sách huyện, xã không có nhiệm vụ chi nghiên cứu khoa học và công nghệ, chi trả lãi vay, chi bổ sung quỹ dự trữ tài chính.</t>
  </si>
  <si>
    <t>(1) Ngân sách xã không có nhiệm vụ chi bổ sung cân đối cho ngân sách cấp dưới.</t>
  </si>
  <si>
    <t>Biểu mẫu số 24</t>
  </si>
  <si>
    <t>ĐÁNH GIÁ THỰC HIỆN CHI NGÂN SÁCH CẤP TỈNH (HUYỆN, XÃ) TỪNG CƠ QUAN, TỔ CHỨC THEO LĨNH VỰC NĂM...</t>
  </si>
  <si>
    <t>Chi trả nợ lãi do chính quyền địa phương vay (1)</t>
  </si>
  <si>
    <t>Chi bổ sung quỹ dự trữ tài chính (1)</t>
  </si>
  <si>
    <t>Chi chương trình MTQG</t>
  </si>
  <si>
    <t>Chi chuyển nguồn sang ngân sách năm sau</t>
  </si>
  <si>
    <t>CÁC CƠ QUAN, TỔ CHỨC</t>
  </si>
  <si>
    <t>………..</t>
  </si>
  <si>
    <t>CHI TRẢ NỢ LÃI CÁC KHOẢN DO CHÍNH QUYỀN ĐỊA PHƯƠNG VAY (1)</t>
  </si>
  <si>
    <t>CHI BỔ SUNG QUỸ DỰ TRỮ TÀI CHÍNH (1)</t>
  </si>
  <si>
    <t>CHI BỔ SUNG CÓ MỤC TIÊU DO NGÂN SÁCH CẤP DƯỚI (2)</t>
  </si>
  <si>
    <t>CHI CHUYỂN NGUỒN SANG NGÂN SÁCH NĂM SAU</t>
  </si>
  <si>
    <t>(2) Ngân sách xã không có nhiệm vụ chi bổ sung có mục tiêu cho ngân sách cấp dưới.</t>
  </si>
  <si>
    <t xml:space="preserve">Ghi chú: </t>
  </si>
  <si>
    <t>(1) Theo quy định tại Điều 7, Điều 11 Luật NSNN, ngân sách huyện, xã không có nhiệm vụ chi trả lãi vay, chi bổ sung quỹ dự trữ tài chính.</t>
  </si>
  <si>
    <t>Biểu mẫu số 25</t>
  </si>
  <si>
    <t>ĐÁNH GIÁ THỰC HIỆN CHI ĐẦU TƯ PHÁT TRIỂN CỦA NGÂN SÁCH CẤP TỈNH (HUYỆN, XÃ) CHO TỪNG CƠ QUAN, TỔ CHỨC THEO LĨNH VỰC NĂM...</t>
  </si>
  <si>
    <t>Chi giao thông</t>
  </si>
  <si>
    <t>Chi nông nghiệp, lâm nghiệp, thủy lợi, thủy sản</t>
  </si>
  <si>
    <t>……</t>
  </si>
  <si>
    <t>Biểu mẫu số 26</t>
  </si>
  <si>
    <t>ĐÁNH GIÁ THỰC HIỆN CHI THƯỜNG XUYÊN CỦA NGÂN SÁCH CẤP TỈNH (HUYỆN, XÃ) CHO TỪNG CƠ QUAN, TỔ CHỨC THEO LĨNH VỰC NĂM...</t>
  </si>
  <si>
    <t>Biểu mẫu số 27</t>
  </si>
  <si>
    <t>ĐÁNH GIÁ THỰC HIỆN CHI CÂN ĐỐI NGÂN SÁCH TỪNG HUYỆN (XÃ) NĂM...</t>
  </si>
  <si>
    <t>Đơn vị: triệu đồng</t>
  </si>
  <si>
    <t>Dự toán chi NSĐP năm…..</t>
  </si>
  <si>
    <t>Ước thực hiện chi NSĐP năm…..</t>
  </si>
  <si>
    <t>Chi đầu tư từ nguồn vốn trong nước</t>
  </si>
  <si>
    <t>Chi đầu tư từ nguồn thu XSKT (nếu có)</t>
  </si>
  <si>
    <t>Chi giáo dục, đào tạo và dạy nghề</t>
  </si>
  <si>
    <t>21=11/1</t>
  </si>
  <si>
    <t>22=12/2</t>
  </si>
  <si>
    <t>23=13/3</t>
  </si>
  <si>
    <t>24=14/4</t>
  </si>
  <si>
    <t>25=15/5</t>
  </si>
  <si>
    <t>26=16/6</t>
  </si>
  <si>
    <t>27=17/7</t>
  </si>
  <si>
    <t>28=18/8</t>
  </si>
  <si>
    <t>29=19/9</t>
  </si>
  <si>
    <t>30=20/10</t>
  </si>
  <si>
    <t>Thành phố C</t>
  </si>
  <si>
    <t>……..</t>
  </si>
  <si>
    <t>Thị trấn C</t>
  </si>
  <si>
    <t>(2) Theo quy định tại Điều 39 Luật NSNN, ngân sách huyện, xã không có nhiệm vụ chi nghiên cứu khoa học và công nghệ.</t>
  </si>
  <si>
    <t>(1) Chi ngân sách tỉnh chi tiết đến từng huyện; chi ngân sách huyện chi tiết đến từng xã</t>
  </si>
  <si>
    <t>Biểu mẫu số 28</t>
  </si>
  <si>
    <t>TÌNH HÌNH THỰC HIỆN KẾ HOẠCH TÀI CHÍNH CÁC QUỸ TÀI CHÍNH NHÀ NƯỚC NGOÀI NGÂN SÁCH DO ĐỊA PHƯƠNG QUẢN LÝ NĂM...</t>
  </si>
  <si>
    <t>Tên quỹ</t>
  </si>
  <si>
    <r>
      <t xml:space="preserve">Số dư nguồn đến ngày 31/12/ … </t>
    </r>
    <r>
      <rPr>
        <sz val="12"/>
        <color indexed="8"/>
        <rFont val="Times New Roman"/>
        <family val="1"/>
      </rPr>
      <t>(năm trước)</t>
    </r>
  </si>
  <si>
    <t>Kế hoạch năm...</t>
  </si>
  <si>
    <r>
      <t xml:space="preserve">Số dư nguồn đến 31/12/ … </t>
    </r>
    <r>
      <rPr>
        <sz val="12"/>
        <color indexed="8"/>
        <rFont val="Times New Roman"/>
        <family val="1"/>
      </rPr>
      <t>(năm hiện hành)</t>
    </r>
  </si>
  <si>
    <t>Tổng nguồn vốn phát sinh trong năm</t>
  </si>
  <si>
    <t>Tổng sử dụng nguồn vốn trong năm</t>
  </si>
  <si>
    <t>Chênh lệch nguồn trong năm</t>
  </si>
  <si>
    <r>
      <t xml:space="preserve">Trong đó: Hỗ trợ từ NSĐP </t>
    </r>
    <r>
      <rPr>
        <sz val="12"/>
        <color indexed="8"/>
        <rFont val="Times New Roman"/>
        <family val="1"/>
      </rPr>
      <t>(nếu có)</t>
    </r>
  </si>
  <si>
    <t>5=1+2-4</t>
  </si>
  <si>
    <t>9=6-8</t>
  </si>
  <si>
    <t>10= 1+6-8</t>
  </si>
  <si>
    <t>Quỹ A</t>
  </si>
  <si>
    <t>Quỹ B</t>
  </si>
  <si>
    <t>Quỹ C</t>
  </si>
  <si>
    <t>Biểu mẫu số 29</t>
  </si>
  <si>
    <t>ĐÁNH GIÁ THỰC HIỆN THU DỊCH VỤ CỦA ĐƠN VỊ SỰ NGHIỆP CÔNG NĂM...</t>
  </si>
  <si>
    <t>(KHÔNG BAO GỒM NGUỒN NSNN)</t>
  </si>
  <si>
    <t>Sự nghiệp giáo dục - đào tạo và dạy nghề</t>
  </si>
  <si>
    <t>Sự nghiệp giáo dục</t>
  </si>
  <si>
    <t>Sự nghiệp đào tạo và dạy nghề</t>
  </si>
  <si>
    <t>Sự nghiệp khoa học và công nghệ</t>
  </si>
  <si>
    <t>Sự nghiệp y tế</t>
  </si>
  <si>
    <t>Sự nghiệp văn hóa thông tin</t>
  </si>
  <si>
    <t>Sự nghiệp phát thanh truyền hình</t>
  </si>
  <si>
    <t>Sự nghiệp thể dục thể thao</t>
  </si>
  <si>
    <t>…………………..</t>
  </si>
  <si>
    <t>Biểu mẫu số 30</t>
  </si>
  <si>
    <t>CÂN ĐỐI NGUỒN THU, CHI DỰ TOÁN NGÂN SÁCH CẤP TỈNH (HUYỆN) VÀ NGÂN SÁCH HUYỆN (XÃ) NĂM....</t>
  </si>
  <si>
    <t xml:space="preserve">Nguồn thu ngân sách </t>
  </si>
  <si>
    <t>Bội chi NSĐP/Bội thu NSĐP (1)</t>
  </si>
  <si>
    <t xml:space="preserve">Chi ngân sách </t>
  </si>
  <si>
    <t>Chi bổ sung cho ngân sách cấp dưới (2)</t>
  </si>
  <si>
    <t>(2) Ngân sách xã không có nhiệm vụ chi bổ sung cho ngân sách cấp dưới.</t>
  </si>
  <si>
    <r>
      <t>Ghi chú:</t>
    </r>
    <r>
      <rPr>
        <i/>
        <sz val="12"/>
        <color indexed="8"/>
        <rFont val="Times New Roman"/>
        <family val="1"/>
      </rPr>
      <t xml:space="preserve"> </t>
    </r>
  </si>
  <si>
    <t>(1) Theo quy định tại Điều 7, Điều 11 Luật NSNN, ngân sách huyện không có thu từ quỹ dự trữ tài chính, bội chi NSĐP.</t>
  </si>
  <si>
    <t>Biểu mẫu số 31</t>
  </si>
  <si>
    <t>DỰ TOÁN THU NGÂN SÁCH NHÀ NƯỚC TRÊN ĐỊA BÀN TỪNG HUYỆN (XÃ) NĂM...</t>
  </si>
  <si>
    <t>TỔNG SỐ  (2)</t>
  </si>
  <si>
    <t>….</t>
  </si>
  <si>
    <t>(1) Thu ngân sách nhà nước trên địa bàn tỉnh chi tiết đến từng huyện; thu ngân sách nhà nước trên địa bàn huyện chi tiết đến từng xã.</t>
  </si>
  <si>
    <t>Biểu mẫu số 32</t>
  </si>
  <si>
    <t>Biểu mẫu số 33</t>
  </si>
  <si>
    <t xml:space="preserve">Chi đầu tư phát triển (1) </t>
  </si>
  <si>
    <t xml:space="preserve">Chi khoa học và công nghệ </t>
  </si>
  <si>
    <t xml:space="preserve">Chi các chương trình mục tiêu, nhiệm vụ </t>
  </si>
  <si>
    <t>Biểu mẫu số 34</t>
  </si>
  <si>
    <t>DỰ TOÁN CHI NGÂN SÁCH CẤP TỈNH (HUYỆN, XÃ) THEO LĨNH VỰC NĂM...</t>
  </si>
  <si>
    <t>Dự toán</t>
  </si>
  <si>
    <t xml:space="preserve">Chi đầu tư phát triển (2) </t>
  </si>
  <si>
    <t xml:space="preserve">Chi hoạt động của cơ quan quản lý nhà nước, đảng, đoàn thể </t>
  </si>
  <si>
    <t>Chi đầu tư và hỗ trợ vốn cho các doanh nghiệp cung cấp sản phẩm, dịch vụ công ích do Nhà nước đặt hàng, các tổ chức kinh tế,</t>
  </si>
  <si>
    <t>Chi khoa học và công nghệ (3)</t>
  </si>
  <si>
    <t>Chi trả nợ lãi các khoản do chính quyền địa phương vay (3)</t>
  </si>
  <si>
    <t>Chi bổ sung quỹ dự trữ tài chính (3)</t>
  </si>
  <si>
    <t>(3) Theo quy định tại Điều 7, Điều 11 và Điều 39 Luật NSNN, ngân sách huyện, xã không có nhiệm vụ chi nghiên cứu khoa học và công nghệ, chi trả lãi vay, chi bổ sung quỹ dự trữ tài chính.</t>
  </si>
  <si>
    <t>Biểu mẫu số 35</t>
  </si>
  <si>
    <t>CHI DỰ PHÒNG NGÂN SÁCH</t>
  </si>
  <si>
    <t>CHI TẠO NGUỒN, ĐIỀU CHỈNH TIỀN LƯƠNG</t>
  </si>
  <si>
    <t>VII</t>
  </si>
  <si>
    <t>Biểu mẫu số 36</t>
  </si>
  <si>
    <t>DỰ TOÁN CHI ĐẦU TƯ PHÁT TRIỂN CỦA NGÂN SÁCH CẤP TỈNH (HUYỆN, XÃ) CHO TỪNG CƠ QUAN, TỔ CHỨC THEO LĨNH VỰC NĂM...</t>
  </si>
  <si>
    <t>Biểu mẫu số 37</t>
  </si>
  <si>
    <t>Biểu mẫu số 38</t>
  </si>
  <si>
    <t>Biểu mẫu số 39</t>
  </si>
  <si>
    <t>Biểu mẫu số 40</t>
  </si>
  <si>
    <t>Biểu mẫu số 41</t>
  </si>
  <si>
    <t>Biểu mẫu số 42</t>
  </si>
  <si>
    <t>Biểu mẫu số 43</t>
  </si>
  <si>
    <t>Biểu mẫu số 44</t>
  </si>
  <si>
    <t>Biểu mẫu số 45</t>
  </si>
  <si>
    <t>Biểu mẫu số 46</t>
  </si>
  <si>
    <t>Biểu mẫu số 47</t>
  </si>
  <si>
    <t>Biểu mẫu số 48</t>
  </si>
  <si>
    <t>Biểu mẫu số 49</t>
  </si>
  <si>
    <t>Biểu mẫu số 50</t>
  </si>
  <si>
    <t>Biểu mẫu số 51</t>
  </si>
  <si>
    <t>Biểu mẫu số 52</t>
  </si>
  <si>
    <t>Biểu mẫu số 53</t>
  </si>
  <si>
    <t>Biểu mẫu số 54</t>
  </si>
  <si>
    <t>Đầu tư phát triển</t>
  </si>
  <si>
    <t>Kinh phí sự nghiệp</t>
  </si>
  <si>
    <t>Vốn ngoài nước</t>
  </si>
  <si>
    <t>2=5+12</t>
  </si>
  <si>
    <t>3=8+15</t>
  </si>
  <si>
    <t>4=5+8</t>
  </si>
  <si>
    <t>5=6+7</t>
  </si>
  <si>
    <t>8=9+10</t>
  </si>
  <si>
    <t>11=12+15</t>
  </si>
  <si>
    <t>12=13+14</t>
  </si>
  <si>
    <t>15=16+17</t>
  </si>
  <si>
    <t>Ngân sách cấp tỉnh (huyện, xã)</t>
  </si>
  <si>
    <t>……………</t>
  </si>
  <si>
    <r>
      <t xml:space="preserve">Ghi chú: </t>
    </r>
    <r>
      <rPr>
        <i/>
        <sz val="12"/>
        <color indexed="8"/>
        <rFont val="Times New Roman"/>
        <family val="1"/>
      </rPr>
      <t>(1) Chi Chương trình mục tiêu quốc gia ngân sách tỉnh chi tiết đến từng cơ quan, tổ chức và từng huyện. Chi Chương trình mục tiêu quốc gia ngân sách huyện chi tiết đến từng xã. Chi Chương trình mục tiêu quốc gia ngân sách xã chi tiết đến từng cơ quan, tổ chức.</t>
    </r>
  </si>
  <si>
    <t>Chia ra</t>
  </si>
  <si>
    <t>Số bổ sung cân đối từ ngân sách cấp trên</t>
  </si>
  <si>
    <t>Số bổ sung thực hiện cải cách tiền lương</t>
  </si>
  <si>
    <t>TỶ LỆ PHẦN TRĂM (%) PHÂN CHIA CÁC KHOẢN THU GIỮA NGÂN SÁCH CÁC CẤP CHÍNH QUYỀN ĐỊA PHƯƠNG NĂM...</t>
  </si>
  <si>
    <t>(Dùng cho ngân sách tỉnh - năm đầu thời kỳ ổn định ngân sách)</t>
  </si>
  <si>
    <t>Đơn vị: %</t>
  </si>
  <si>
    <t>Chi tiết theo sắc thuế</t>
  </si>
  <si>
    <t>Thuế giá trị gia tăng</t>
  </si>
  <si>
    <t>Thuế thu nhập doanh nghiệp</t>
  </si>
  <si>
    <t>Bổ sung vốn đầu tư để thực hiện các chương trình mục tiêu, nhiệm vụ</t>
  </si>
  <si>
    <t>Bổ sung thực hiện các chương trình mục tiêu quốc gia</t>
  </si>
  <si>
    <t>DỰ TOÁN BỔ SUNG CÓ MỤC TIÊU TỪ NGÂN SÁCH CẤP TỈNH (HUYỆN) CHO NGÂN SÁCH TỪNG HUYỆN (XÃ) NĂM...</t>
  </si>
  <si>
    <t>Bổ sung vốn sự nghiệp thực hiện các chế độ, chính sách, nhiệm vụ</t>
  </si>
  <si>
    <t>1=2+3+4</t>
  </si>
  <si>
    <t>Ghi chú: (1) Bổ sung có mục tiêu từ ngân sách cấp tỉnh chi tiết đến từng huyện. Bổ sung có mục tiêu từ ngân sách huyện chi tiết đến từng xã.</t>
  </si>
  <si>
    <t>DỰ TOÁN BỔ SUNG CÓ MỤC TIÊU VỐN ĐẦU TƯ TỪ NGÂN SÁCH CẤP TỈNH (HUYỆN) CHO NGÂN SÁCH TỪNG HUYỆN (XÃ) ĐỂ THỰC HIỆN CÁC CHƯƠNG TRÌNH MỤC TIÊU NĂM...</t>
  </si>
  <si>
    <t>Chương trình...</t>
  </si>
  <si>
    <t>7=8+9</t>
  </si>
  <si>
    <r>
      <t>Ghi chú:</t>
    </r>
    <r>
      <rPr>
        <i/>
        <sz val="12"/>
        <color indexed="8"/>
        <rFont val="Times New Roman"/>
        <family val="1"/>
      </rPr>
      <t xml:space="preserve"> (1) Chi bổ sung có mục tiêu từ ngân sách tỉnh chi tiết đến từng huyện; chi bổ sung có mục tiêu từ ngân sách huyện chi tiết đến từng xã.</t>
    </r>
  </si>
  <si>
    <t>DỰ TOÁN BỔ SUNG CÓ MỤC TIÊU VỐN SỰ NGHIỆP TỪ NGÂN SÁCH CẤP TỈNH (HUYỆN) CHO NGÂN SÁCH TỪNG HUYỆN (XÃ)</t>
  </si>
  <si>
    <t>ĐỂ THỰC HIỆN CÁC CHẾ ĐỘ, NHIỆM VỤ VÀ CHÍNH SÁCH THEO QUY ĐỊNH NĂM...</t>
  </si>
  <si>
    <t>Chính sách ….</t>
  </si>
  <si>
    <t>....</t>
  </si>
  <si>
    <r>
      <t xml:space="preserve">Ghi chú: </t>
    </r>
    <r>
      <rPr>
        <i/>
        <sz val="12"/>
        <color indexed="8"/>
        <rFont val="Times New Roman"/>
        <family val="1"/>
      </rPr>
      <t>(1) Chi bổ sung có mục tiêu từ ngân sách tỉnh chi tiết đến từng huyện; Chi bổ sung có mục tiêu từ ngân sách huyện chi tiết đến từng xã.</t>
    </r>
  </si>
  <si>
    <t>KẾ HOẠCH TÀI CHÍNH CỦA CÁC QUỸ TÀI CHÍNH NHÀ NƯỚC NGOÀI NGÂN SÁCH DO ĐỊA PHƯƠNG QUẢN LÝ NĂM ...</t>
  </si>
  <si>
    <r>
      <t xml:space="preserve">Dư nguồn đến ngày 31/12/… </t>
    </r>
    <r>
      <rPr>
        <sz val="12"/>
        <color indexed="8"/>
        <rFont val="Times New Roman"/>
        <family val="1"/>
      </rPr>
      <t>(năm trước)</t>
    </r>
  </si>
  <si>
    <r>
      <t xml:space="preserve">Số dư nguồn đến ngày 31/12/… </t>
    </r>
    <r>
      <rPr>
        <sz val="12"/>
        <color indexed="8"/>
        <rFont val="Times New Roman"/>
        <family val="1"/>
      </rPr>
      <t>(năm hiện hành)</t>
    </r>
  </si>
  <si>
    <t>Kế hoạch năm…..</t>
  </si>
  <si>
    <r>
      <t xml:space="preserve">Dự kiến dư nguồn đến ngày 31/12/… </t>
    </r>
    <r>
      <rPr>
        <sz val="12"/>
        <color indexed="8"/>
        <rFont val="Times New Roman"/>
        <family val="1"/>
      </rPr>
      <t>(năm sau)</t>
    </r>
  </si>
  <si>
    <t>Trong đó: Hỗ trợ từ NSĐP (nếu có)</t>
  </si>
  <si>
    <t>5=2-4</t>
  </si>
  <si>
    <t>6=1+2-4</t>
  </si>
  <si>
    <t>10=7-9</t>
  </si>
  <si>
    <t>11=6+7-9</t>
  </si>
  <si>
    <t>Giá trị khối lượng thực hiện từ khởi công đến 31/12/…</t>
  </si>
  <si>
    <t>Lũy kế vốn đã bố trí đến 31/12/….</t>
  </si>
  <si>
    <t>Tổng mức đầu tư được duyệt</t>
  </si>
  <si>
    <t>Chia theo nguồn vốn</t>
  </si>
  <si>
    <t>Ngoài nước</t>
  </si>
  <si>
    <t>KẾ HOẠCH THU DỊCH VỤ CỦA ĐƠN VỊ SỰ NGHIỆP CÔNG NĂM...</t>
  </si>
  <si>
    <t>QUYẾT TOÁN CÂN ĐỐI NGÂN SÁCH ĐỊA PHƯƠNG NĂM...</t>
  </si>
  <si>
    <t>Quyết toán</t>
  </si>
  <si>
    <t xml:space="preserve">Thu bổ sung từ ngân sách cấp trên </t>
  </si>
  <si>
    <t xml:space="preserve">Tổng chi cân đối NSĐP </t>
  </si>
  <si>
    <t>BỘI CHI NSĐP/BỘI THU NSĐP/KẾT DƯ NSĐP</t>
  </si>
  <si>
    <t>CHI TRẢ NỢ GỐC CỦA NSĐP</t>
  </si>
  <si>
    <t>TỔNG MỨC DƯ NỢ VAY CUỐI NĂM CỦA NSĐP</t>
  </si>
  <si>
    <r>
      <t xml:space="preserve">Ghi chú: </t>
    </r>
    <r>
      <rPr>
        <i/>
        <sz val="12"/>
        <color indexed="8"/>
        <rFont val="Times New Roman"/>
        <family val="1"/>
      </rPr>
      <t>(1) Theo quy định tại Điều 7, Điều 11 và Điều 39 Luật NSNN, ngân sách huyện, xã không có nhiệm vụ chi nghiên cứu khoa học và công nghệ, trả lãi vay, chi bổ sung quỹ dự trữ tài chính, bội chi NSĐP, vay và trả nợ gốc vay.</t>
    </r>
  </si>
  <si>
    <t>QUYẾT TOÁN CÂN ĐỐI NGUỒN THU, CHI NGÂN SÁCH CẤP TỈNH (HUYỆN) VÀ NGÂN SÁCH HUYỆN (XÃ) NĂM...</t>
  </si>
  <si>
    <t>Bổ sung cân đối ngân sách</t>
  </si>
  <si>
    <t>Bổ sung có mục tiêu</t>
  </si>
  <si>
    <t>Chi trả nợ gốc từ nguồn bội thu, tăng thu, tiết kiệm, kết dư ngân sách cấp tỉnh (1)</t>
  </si>
  <si>
    <t>Bội chi NSĐP/Kết dư NSĐP (1)</t>
  </si>
  <si>
    <t>Kết dư</t>
  </si>
  <si>
    <t>(1) Theo quy định tại Điều 7, Điều 11 Luật NSNN, ngân sách huyện không có thu từ quỹ dự trữ tài chính, chi trả nợ gốc và bội chi NSĐP.</t>
  </si>
  <si>
    <t>QUYẾT TOÁN NGUỒN THU NGÂN SÁCH NHÀ NƯỚC TRÊN ĐỊA BÀN THEO LĨNH VỰC NĂM...</t>
  </si>
  <si>
    <t>TỔNG NGUỒN THU NSNN (A+B+C+D)</t>
  </si>
  <si>
    <t>TỔNG THU CÂN ĐỐI NSNN</t>
  </si>
  <si>
    <t>Thu từ khu vực DNNN do địa phương quản lý (2)</t>
  </si>
  <si>
    <t>Thuế BVMT thu từ hàng hóa sản xuất, kinh doanh trong nước</t>
  </si>
  <si>
    <t xml:space="preserve">Thu phí, lệ phí </t>
  </si>
  <si>
    <t>Phí và lệ phí xã, phường</t>
  </si>
  <si>
    <t>Tiền cho thuê và tiền bán nhà ở thuộc sở hữu nhà nước</t>
  </si>
  <si>
    <t>Lợi nhuận được chia của Nhà nước và lợi nhuận sau thuế còn lại sau khi trích lập các quỹ của doanh nghiệp nhà nước (5)</t>
  </si>
  <si>
    <t xml:space="preserve">Thu từ hoạt động xuất nhập khẩu </t>
  </si>
  <si>
    <t>Thuế tiêu thụ đặc biệt thu từ hàng hóa nhập khẩu</t>
  </si>
  <si>
    <t>Thuế bảo vệ môi trường thu từ hàng hóa nhập khẩu</t>
  </si>
  <si>
    <t>Thuế giá trị gia tăng thu từ hàng hóa nhập khẩu</t>
  </si>
  <si>
    <t>THU TỪ QUỸ DỰ TRỮ TÀI CHÍNH</t>
  </si>
  <si>
    <t>THU KẾT DƯ NĂM TRƯỚC</t>
  </si>
  <si>
    <t>THU CHUYỂN NGUỒN TỪ NĂM TRƯỚC CHUYỂN SANG</t>
  </si>
  <si>
    <t>QUYẾT TOÁN CHI NGÂN SÁCH ĐỊA PHƯƠNG THEO LĨNH VỰC NĂM...</t>
  </si>
  <si>
    <t>TỔNG CHI NGÂN SÁCH ĐỊA PHƯƠNG</t>
  </si>
  <si>
    <t>CHI CÂN ĐỐI NGÂN SÁCH ĐỊA PHƯƠNG</t>
  </si>
  <si>
    <t xml:space="preserve">Chi đầu tư cho các dự án </t>
  </si>
  <si>
    <t>QUYẾT TOÁN CHI NGÂN SÁCH CẤP TỈNH (HUYỆN, XÃ) THEO LĨNH VỰC NĂM...</t>
  </si>
  <si>
    <t>QUYẾT TOÁN CHI NGÂN SÁCH ĐỊA PHƯƠNG, CHI NGÂN SÁCH CẤP TỈNH (HUYỆN) VÀ CHI NGÂN SÁCH HUYỆN (XÃ) THEO CƠ CẤU CHI NĂM...</t>
  </si>
  <si>
    <t>QUYẾT TOÁN CHI NGÂN SÁCH CẤP TỈNH (HUYỆN, XÃ) CHO TỪNG CƠ QUAN, TỔ CHỨC THEO LĨNH VỰC NĂM...</t>
  </si>
  <si>
    <t>Dự toán (1)</t>
  </si>
  <si>
    <r>
      <t xml:space="preserve">Chi đầu tư phát triển </t>
    </r>
    <r>
      <rPr>
        <sz val="12"/>
        <rFont val="Times New Roman"/>
        <family val="1"/>
      </rPr>
      <t>(Không kể chương trình MTQG)</t>
    </r>
  </si>
  <si>
    <r>
      <t xml:space="preserve">Chi thường xuyên </t>
    </r>
    <r>
      <rPr>
        <sz val="12"/>
        <rFont val="Times New Roman"/>
        <family val="1"/>
      </rPr>
      <t>(Không kể chương trình MTQG)</t>
    </r>
  </si>
  <si>
    <t>Chi trả nợ lãi do chính quyền địa phương vay (2)</t>
  </si>
  <si>
    <t>CHI TRẢ NỢ LÃI CÁC KHOẢN DO CHÍNH QUYỀN ĐỊA PHƯƠNG VAY (2)</t>
  </si>
  <si>
    <t>CHI BỔ SUNG QUỸ DỰ TRỮ TÀI CHÍNH (2)</t>
  </si>
  <si>
    <t>CHI BỔ SUNG CÓ MỤC TIÊU CHO NGÂN SÁCH CẤP DƯỚI (3)</t>
  </si>
  <si>
    <t>(2) Theo quy định tại Điều 7, Điều 11 Luật NSNN, ngân sách huyện, xã không có nhiệm vụ chi trả lãi vay, chi bổ sung quỹ dự trữ tài chính.</t>
  </si>
  <si>
    <t>(3) Ngân sách xã không có nhiệm vụ chi bổ sung có mục tiêu cho ngân sách cấp dưới.</t>
  </si>
  <si>
    <t>(1) Dự toán chi ngân sách địa phương chi tiết theo các chỉ tiêu tương ứng phần quyết toán chi ngân sách địa phương.</t>
  </si>
  <si>
    <t>Biểu mẫu số 55</t>
  </si>
  <si>
    <t>QUYẾT TOÁN CHI ĐẦU TƯ PHÁT TRIỂN CỦA NGÂN SÁCH CẤP TỈNH (HUYỆN, XÃ) CHO TỪNG CƠ QUAN, TỔ CHỨC THEO LĨNH VỰC NĂM...</t>
  </si>
  <si>
    <t>18=2/1</t>
  </si>
  <si>
    <t>Doanh nghiệp C</t>
  </si>
  <si>
    <t>Biểu mẫu số 56</t>
  </si>
  <si>
    <t>QUYẾT TOÁN CHI THƯỜNG XUYÊN CỦA NGÂN SÁCH CẤP TỈNH (HUYỆN, XÃ) CHO TỪNG CƠ QUAN, TỔ CHỨC THEO LĨNH VỰC NĂM...</t>
  </si>
  <si>
    <t>18= 2/1</t>
  </si>
  <si>
    <t>Biểu mẫu số 57</t>
  </si>
  <si>
    <t>TỔNG HỢP QUYẾT TOÁN CHI THƯỜNG XUYÊN NGÂN SÁCH CẤP TỈNH (HUYỆN, XÃ) CỦA TỪNG CƠ QUAN, TỔ CHỨC THEO NGUỒN VỐN NĂM...</t>
  </si>
  <si>
    <t>Dự toán được cấp</t>
  </si>
  <si>
    <t>Kinh phí thực hiện trong năm</t>
  </si>
  <si>
    <t>Nguồn còn lại</t>
  </si>
  <si>
    <t>Dự toán đầu năm</t>
  </si>
  <si>
    <r>
      <t xml:space="preserve">Bổ sung trong năm </t>
    </r>
    <r>
      <rPr>
        <sz val="12"/>
        <color indexed="8"/>
        <rFont val="Times New Roman"/>
        <family val="1"/>
      </rPr>
      <t>(nếu có)</t>
    </r>
  </si>
  <si>
    <r>
      <t xml:space="preserve">Giảm trừ trong năm </t>
    </r>
    <r>
      <rPr>
        <sz val="12"/>
        <color indexed="8"/>
        <rFont val="Times New Roman"/>
        <family val="1"/>
      </rPr>
      <t>(nếu có)</t>
    </r>
  </si>
  <si>
    <t>Chuyển nguồn năm sau</t>
  </si>
  <si>
    <t>Hủy bỏ</t>
  </si>
  <si>
    <t>1=2+3-4</t>
  </si>
  <si>
    <t>6=1-5</t>
  </si>
  <si>
    <t>Biểu mẫu số 58</t>
  </si>
  <si>
    <t>QUYẾT TOÁN CHI NGÂN SÁCH ĐỊA PHƯƠNG TỪNG HUYỆN (XÃ) NĂM...</t>
  </si>
  <si>
    <t>Dự toán (2)</t>
  </si>
  <si>
    <t>Chi CTMTQG</t>
  </si>
  <si>
    <t>Chi giáo dục đào tạo dạy nghề</t>
  </si>
  <si>
    <t>15= 4/1</t>
  </si>
  <si>
    <t>16= 5/2</t>
  </si>
  <si>
    <t>(2) Dự toán chi ngân sách địa phương chi tiết theo các chỉ tiêu tương ứng phần Quyết toán chi ngân sách địa phương.</t>
  </si>
  <si>
    <t>(3) Theo quy định tại Điều 7, Điều 39 Luật NSNN, ngân sách huyện, xã không có nhiệm vụ chi nghiên cứu khoa học và công nghệ.</t>
  </si>
  <si>
    <t>(1) Theo quy định tại Điều 7, Điều 39 Luật NSNN, ngân sách huyện, xã không có nhiệm vụ chi nghiên cứu khoa học và công nghệ.</t>
  </si>
  <si>
    <t>Biểu mẫu số 59</t>
  </si>
  <si>
    <t>QUYẾT TOÁN CHI BỔ SUNG TỪ NGÂN SÁCH CẤP TỈNH (HUYỆN) CHO NGÂN SÁCH TỪNG HUYỆN (XÃ) NĂM...</t>
  </si>
  <si>
    <t>So sách (%)</t>
  </si>
  <si>
    <t>Gồm</t>
  </si>
  <si>
    <t>Vốn đầu tư để thực hiện các CTMT, nhiệm vụ</t>
  </si>
  <si>
    <t>Vốn sự nghiệp thực hiện các chế độ, chính sách</t>
  </si>
  <si>
    <t>Vốn thực hiện các CTMT quốc gia</t>
  </si>
  <si>
    <t>3=4+5</t>
  </si>
  <si>
    <t>11=12+13</t>
  </si>
  <si>
    <t>17=9/1</t>
  </si>
  <si>
    <t>18=10/2</t>
  </si>
  <si>
    <t>19=11/3</t>
  </si>
  <si>
    <t>20=12/4</t>
  </si>
  <si>
    <t>21=13/5</t>
  </si>
  <si>
    <t>22=14/6</t>
  </si>
  <si>
    <t>23=15/7</t>
  </si>
  <si>
    <t>24=16/8</t>
  </si>
  <si>
    <r>
      <t xml:space="preserve">Ghi chú: </t>
    </r>
    <r>
      <rPr>
        <i/>
        <sz val="12"/>
        <color indexed="8"/>
        <rFont val="Times New Roman"/>
        <family val="1"/>
      </rPr>
      <t>(1) Bổ sung từ ngân sách tỉnh chi tiết đến từng huyện; bổ sung từ ngân sách huyện chi tiết đến từng xã.</t>
    </r>
  </si>
  <si>
    <t>Biểu mẫu số 60</t>
  </si>
  <si>
    <t>QUYẾT TOÁN THU NGÂN SÁCH HUYỆN (XÃ) NĂM...</t>
  </si>
  <si>
    <t>Tổng thu NSĐP</t>
  </si>
  <si>
    <t>Thu NSĐP hưởng theo phân cấp</t>
  </si>
  <si>
    <t>Thu từ kết dư năm trước</t>
  </si>
  <si>
    <t>Biểu mẫu số 61</t>
  </si>
  <si>
    <t>QUYẾT TOÁN CHI CHƯƠNG TRÌNH MỤC TIÊU QUỐC GIA NĂM...</t>
  </si>
  <si>
    <t>Chương trình mục tiêu quốc gia ….</t>
  </si>
  <si>
    <t>16=5/1</t>
  </si>
  <si>
    <t>17=6/2</t>
  </si>
  <si>
    <t>18=7/3</t>
  </si>
  <si>
    <t>19=8/4</t>
  </si>
  <si>
    <t>Biểu mẫu số 62</t>
  </si>
  <si>
    <t>QUYẾT TOÁN VỐN ĐẦU TƯ CÁC CHƯƠNG TRÌNH, DỰ ÁN SỬ DỤNG VỐN NGÂN SÁCH NHÀ NƯỚC NĂM...</t>
  </si>
  <si>
    <t>DỰ TOÁN</t>
  </si>
  <si>
    <t>QUYẾT TOÁN</t>
  </si>
  <si>
    <t>25=21/17</t>
  </si>
  <si>
    <t>26=22/18</t>
  </si>
  <si>
    <t>27=23/19</t>
  </si>
  <si>
    <t>28=24/20</t>
  </si>
  <si>
    <t>Biểu mẫu số 63</t>
  </si>
  <si>
    <t>TỔNG HỢP CÁC QUỸ TÀI CHÍNH NHÀ NƯỚC NGOÀI NGÂN SÁCH DO ĐỊA PHƯƠNG QUẢN LÝ NĂM...</t>
  </si>
  <si>
    <t>Tên Quỹ</t>
  </si>
  <si>
    <r>
      <t xml:space="preserve">Dư nguồn đến ngày 31/12/ … </t>
    </r>
    <r>
      <rPr>
        <sz val="12"/>
        <color indexed="8"/>
        <rFont val="Times New Roman"/>
        <family val="1"/>
      </rPr>
      <t>(năm trước)</t>
    </r>
  </si>
  <si>
    <t>Thực hiện năm...</t>
  </si>
  <si>
    <t xml:space="preserve">Dư nguồn đến 31/12/ … </t>
  </si>
  <si>
    <t>10=1+6-8</t>
  </si>
  <si>
    <t>Biểu mẫu số 64</t>
  </si>
  <si>
    <t>TỔNG HỢP THU DỊCH VỤ CỦA ĐƠN VỊ SỰ NGHIỆP CÔNG NĂM...</t>
  </si>
  <si>
    <t>(KHÔNG BAO GỒM NGUỒN NGÂN SÁCH NHÀ NƯỚC)</t>
  </si>
  <si>
    <t>Phần thứ nhất</t>
  </si>
  <si>
    <t>Kế hoạch tài chính 05 năm địa phương</t>
  </si>
  <si>
    <t>Dự báo một số chỉ tiêu kinh tế - xã hội chủ yếu giai đoạn...</t>
  </si>
  <si>
    <t>Kế hoạch tài chính - ngân sách giai đoạn 05 năm...</t>
  </si>
  <si>
    <t>Phần thứ hai</t>
  </si>
  <si>
    <t>Kế hoạch đầu tư công trung hạn 05 năm địa phương</t>
  </si>
  <si>
    <t>Dự kiến phương án phân bổ kế hoạch đầu tư công trung hạn vốn ngân sách nhà nước giai đoạn 05 năm...</t>
  </si>
  <si>
    <t>Tổng hợp dự kiến kế hoạch đầu tư công trung hạn vốn ngân sách nhà nước của các cơ quan, đơn vị và địa phương giai đoạn 05 năm...</t>
  </si>
  <si>
    <t>Danh mục chương trình, dự án dự kiến bố trí kế hoạch đầu tư công trung hạn vốn trong nước giai đoạn 05 năm...</t>
  </si>
  <si>
    <t>Danh mục chương trình, dự án dự kiến bố trí kế hoạch đầu tư công trung hạn vốn nước ngoài (vốn ODA và vốn vay ưu đãi của các nhà tài trợ nước ngoài) giai đoạn 05 năm...</t>
  </si>
  <si>
    <t>Phần thứ ba</t>
  </si>
  <si>
    <t>Kế hoạch tài chính - ngân sách nhà nước 03 năm địa phương</t>
  </si>
  <si>
    <t>Dự kiến cân đối ngân sách địa phương giai đoạn 03 năm...</t>
  </si>
  <si>
    <t>Dự kiến thu ngân sách nhà nước theo lĩnh vực giai đoạn 03 năm...</t>
  </si>
  <si>
    <t>Dự kiến cân đối nguồn thu, chi ngân sách cấp tỉnh và ngân sách huyện giai đoạn 03 năm...</t>
  </si>
  <si>
    <t>Dự kiến chi ngân sách cấp tỉnh theo cơ cấu chi giai đoạn 03 năm...</t>
  </si>
  <si>
    <t>Dự kiến kế hoạch đầu tư vốn ngân sách địa phương giai đoạn 03 năm...</t>
  </si>
  <si>
    <t>Phần thứ tư</t>
  </si>
  <si>
    <t>Dự toán ngân sách địa phương</t>
  </si>
  <si>
    <t>1.</t>
  </si>
  <si>
    <t>Tình hình thực hiện ngân sách địa phương năm hiện hành</t>
  </si>
  <si>
    <t>Đánh giá cân đối ngân sách địa phương năm...</t>
  </si>
  <si>
    <t>Đánh giá thực hiện thu ngân sách nhà nước theo lĩnh vực năm..,.</t>
  </si>
  <si>
    <t>Đánh giá thực hiện chi ngân sách địa phương theo cơ cấu chi năm...</t>
  </si>
  <si>
    <t>2.</t>
  </si>
  <si>
    <t>Dự toán ngân sách địa phương năm sau</t>
  </si>
  <si>
    <t>Cân đối ngân sách địa phương năm...</t>
  </si>
  <si>
    <t>Dự toán thu ngân sách nhà nước theo lĩnh vực năm...</t>
  </si>
  <si>
    <t>Dự toán chi ngân sách địa phương theo cơ cấu chi năm...</t>
  </si>
  <si>
    <t>Bội chi và phương án vay - trả nợ ngân sách địa phương năm...</t>
  </si>
  <si>
    <t>Phần thứ năm</t>
  </si>
  <si>
    <t>Phân bổ ngân sách địa phương</t>
  </si>
  <si>
    <t>Đánh giá cân đối nguồn thu, chi ngân sách cấp tỉnh (huyện) và ngân sách huyện (xã) năm...</t>
  </si>
  <si>
    <t>Đánh giá thực hiện thu ngân sách nhà nước trên địa bàn từng huyện (xã) năm...</t>
  </si>
  <si>
    <t>Đánh giá thực hiện thu ngân sách nhà nước trên địa bàn từng huyện (xã) theo lĩnh vực năm...</t>
  </si>
  <si>
    <t>Đánh giá thực hiện chi ngân sách địa phương, chi ngân sách cấp tỉnh (huyện) và chi ngân sách huyện (xã) theo cơ cấu chi năm...</t>
  </si>
  <si>
    <t>Đánh giá thực hiện chi ngân sách cấp tỉnh (huyện, xã) theo lĩnh vực năm...</t>
  </si>
  <si>
    <t>Đánh giá thực hiện chi ngân sách cấp tỉnh (huyện, xã) cho từng cơ quan, tổ chức theo lĩnh vực năm...</t>
  </si>
  <si>
    <t>Đánh giá thực hiện chi đầu tư phát triển ngân sách cấp tỉnh (huyện, xã) cho từng cơ quan, tổ chức theo lĩnh vực năm...</t>
  </si>
  <si>
    <t>Đánh giá thực hiện chi thường xuyên ngân sách cấp tỉnh (huyện, xã) cho từng cơ quan, tổ chức theo lĩnh vực năm...</t>
  </si>
  <si>
    <t>Đánh giá thực hiện chi cân đối ngân sách từng huyện (xã) năm...</t>
  </si>
  <si>
    <t>Tình hình thực hiện kế hoạch tài chính các quỹ tài chính nhà nước ngoài ngân sách do địa phương quản lý năm...</t>
  </si>
  <si>
    <t>Đánh giá thực hiện thu dịch vụ của đơn vị sự nghiệp công năm...(không bao gồm nguồn ngân sách nhà nước)</t>
  </si>
  <si>
    <t>Phân bổ dự toán ngân sách địa phương năm sau</t>
  </si>
  <si>
    <t>Cân đối nguồn thu, chi dự toán ngân sách cấp tỉnh (huyện) và ngân sách huyện (xã) năm...</t>
  </si>
  <si>
    <t>Dự toán thu ngân sách nhà nước trên địa bàn từng huyện (xã) năm...</t>
  </si>
  <si>
    <t>Dự toán thu ngân sách nhà nước trên địa bàn từng huyện (xã) theo lĩnh vực năm...</t>
  </si>
  <si>
    <t>Dự toán chi ngân sách địa phương, chi ngân sách cấp tỉnh (huyện) và ngân sách huyện (xã) theo cơ cấu chi năm...</t>
  </si>
  <si>
    <t>Dự toán chi ngân sách cấp tỉnh (huyện, xã) theo lĩnh vực năm...</t>
  </si>
  <si>
    <t>Dự toán chi ngân sách cấp tỉnh (huyện, xã) cho từng cơ quan, tổ chức theo lĩnh vực năm...</t>
  </si>
  <si>
    <t>Dự toán chi đầu tư phát triển của ngân sách cấp tỉnh (huyện, xã) cho từng cơ quan, tổ chức theo lĩnh vực năm...</t>
  </si>
  <si>
    <t>Dự toán chi thường xuyên của ngân sách cấp tỉnh (huyện, xã) cho từng cơ quan, tổ chức theo lĩnh vực năm...</t>
  </si>
  <si>
    <t>Dự toán chi chương trình mục tiêu quốc gia ngân sách cấp tỉnh (huyện) và ngân sách huyện (xã) năm....</t>
  </si>
  <si>
    <t>Dự toán thu, chi ngân sách địa phương và số bổ sung cân đối từ ngân sách cấp trên cho ngân sách cấp dưới năm....</t>
  </si>
  <si>
    <t>Tỷ lệ phần trăm (%) phân chia các khoản thu giữa ngân sách các cấp chính quyền địa phương năm...</t>
  </si>
  <si>
    <t>Dự toán chi ngân sách địa phương từng huyện (xã) năm...</t>
  </si>
  <si>
    <t>Dự toán bổ sung có mục tiêu từ ngân sách cấp tỉnh (huyện) cho ngân sách từng huyện (xã) năm...</t>
  </si>
  <si>
    <t>Dự toán bổ sung có mục tiêu vốn đầu tư từ ngân sách cấp tỉnh (huyện) cho ngân sách từng huyện (xã) để thực hiện các chương trình mục tiêu năm...</t>
  </si>
  <si>
    <t>Dự toán bổ sung có mục tiêu vốn sự nghiệp từ ngân sách cấp tỉnh (huyện) cho ngân sách từng huyện (xã) để thực hiện các chế độ, nhiệm vụ và chính sách theo quy định năm...</t>
  </si>
  <si>
    <t>Kế hoạch tài chính của các quỹ tài chính nhà nước ngoài ngân sách do địa phương quản lý năm...</t>
  </si>
  <si>
    <t>Danh mục các chương trình, dự án sử dụng vốn ngân sách nhà nước năm...</t>
  </si>
  <si>
    <t>Kế hoạch thu dịch vụ của đơn vị sự nghiệp công năm.... (không bao gồm nguồn ngân sách nhà nước)</t>
  </si>
  <si>
    <t>Phần thứ sáu</t>
  </si>
  <si>
    <t>Quyết toán ngân sách địa phương</t>
  </si>
  <si>
    <t>Quyết toán cân đối ngân sách địa phương năm...</t>
  </si>
  <si>
    <t>Quyết toán cân đối nguồn thu, chi ngân sách cấp tỉnh (huyện) và ngân sách huyện (xã) năm...</t>
  </si>
  <si>
    <t>Quyết toán nguồn thu ngân sách nhà nước trên địa bàn theo lĩnh vực năm...</t>
  </si>
  <si>
    <t>Quyết toán chi ngân sách địa phương theo lĩnh vực năm....</t>
  </si>
  <si>
    <t>Quyết toán chi ngân sách cấp tỉnh (huyện, xã) theo lĩnh vực năm....</t>
  </si>
  <si>
    <t>Quyết toán chi ngân sách địa phương, chi ngân sách cấp tỉnh (huyện) và chi ngân sách huyện (xã) theo cơ cấu chi năm...</t>
  </si>
  <si>
    <t>Quyết toán chi ngân sách cấp tỉnh (huyện, xã) cho từng cơ quan, tổ chức theo lĩnh vực năm...</t>
  </si>
  <si>
    <t>Quyết toán chi đầu tư phát triển của ngân sách cấp tỉnh (huyện, xã) cho từng cơ quan, tổ chức theo lĩnh vực năm...</t>
  </si>
  <si>
    <t>Quyết toán chi thường xuyên của ngân sách cấp tỉnh (huyện, xã) cho từng cơ quan, tổ chức theo lĩnh vực năm...</t>
  </si>
  <si>
    <t>Tổng hợp quyết toán chi thường xuyên ngân sách cấp tỉnh (huyện, xã) của từng cơ quan, tổ chức theo nguồn vốn năm...</t>
  </si>
  <si>
    <t>Quyết toán chi ngân sách địa phương từng huyện (xã) năm...</t>
  </si>
  <si>
    <t>Quyết toán chi bổ sung từ ngân sách cấp tỉnh (huyện) cho ngân sách từng huyện (xã) năm...</t>
  </si>
  <si>
    <t>Quyết toán thu ngân sách huyện (xã) năm...</t>
  </si>
  <si>
    <t>Quyết toán chi chương trình mục tiêu quốc gia năm...</t>
  </si>
  <si>
    <t>Quyết toán vốn đầu tư các chương trình, dự án sử dụng vốn ngân sách nhà nước năm...</t>
  </si>
  <si>
    <t>Tổng hợp các quỹ tài chính nhà nước ngoài ngân sách do địa phương quản lý năm...</t>
  </si>
  <si>
    <t>Tổng hợp thu dịch vụ của đơn vị sự nghiệp công năm.... (không bao gồm nguồn ngân sách nhà nước)</t>
  </si>
  <si>
    <t>Phụ lục</t>
  </si>
  <si>
    <t>Từ nguồn vay để trả nợ gốc</t>
  </si>
  <si>
    <t>Lợi nhuận được chia của Nhà nước và lợi nhuận sau thuế còn lại sau khi trích lập các quỹ của doanh nghiệp nhà nước (5)</t>
  </si>
  <si>
    <t>HỆ THỐNG BIỂU MẪU KÈM THEO NGHỊ ĐỊNH SỐ 31/2017/NĐ-CP
NGÀY 23/3/2017 CỦA CHÍNH PHỦ</t>
  </si>
  <si>
    <t>Biểu mẫu</t>
  </si>
  <si>
    <t>CQ báo cáo và nhận báo cáo</t>
  </si>
  <si>
    <t>Dùng cho Cục Thống kê báo cáo Sở Tài chính</t>
  </si>
  <si>
    <t>Dùng cho các đơn vị và UBND cấp dưới báo cáo cơ quan kế hoạch và đầu tư, cơ quan tài chính và UBND cấp trên</t>
  </si>
  <si>
    <t>Ước thựchiện năm N-1</t>
  </si>
  <si>
    <t>Dùng cho UBND cấp dưới báo cáo cơ quan tài chính và UBND cấp trên</t>
  </si>
  <si>
    <t>Dùng cho Sở Tài chính báo cáo UBND thành phố</t>
  </si>
  <si>
    <t>Dùng cho Cục Thuế gửi số liệu cho Sở Tài chính báo cáo UBND thành phố</t>
  </si>
  <si>
    <t>Dùng cho cơ quan thuế, cơ quan tài chính và cơ quan kế hoạch và đầu tư cấp dưới báo cáo UBND cùng cấp; UBND cấp dưới báo cáo cơ quan tài chính và UBND cấp trên</t>
  </si>
  <si>
    <t>Cơ quan tài chính, cơ quan kế hoạch và đầu tư báo cáo UBND cùng cấp</t>
  </si>
  <si>
    <t>Các cơ quan, đơn vị quản lý quỹ cung cấp số liệu cho cơ quan tài chính, UBND cấp dưới báo cáo cơ quan tài chính, UBND cấp trên</t>
  </si>
  <si>
    <t>Cơ quan tài chính, UBND cấp dưới báo cáo cơ quan tài chính, UBND cấp trên</t>
  </si>
  <si>
    <t>Dùng cho cơ quan kế hoạch và đầu tư báo cáo cơ quan tài chính, UBND cùng cấp; UBND cấp dưới gửi số liệu cho cơ quan kế hoạch và đầu tư, cơ quan tài chính cấp trên báo cáo UBND cấp trên</t>
  </si>
  <si>
    <t>Dùng cho Chi cục Thuế gửi Cục Thuế, Sở Tài chính báo cáo UBND thành phố</t>
  </si>
  <si>
    <t>Các cơ quan, đơn vị, địa phương cung cấp số liệu cho Sở Tài chính báo cáo UBND thành phố</t>
  </si>
  <si>
    <t>Cơ quan quản lý Quỹ các cấp cung cấp số liệu cho Sở Tài chính báo cáo UBND thành phố</t>
  </si>
  <si>
    <t>UBND các quận, huyện cung cấp số liệu cho Sở Tài chính báo cáo UBND thành phố</t>
  </si>
  <si>
    <t>Dùng cho Cục Thuế cung cấp số liệu cho Sở Tài chính báo cáo UBND thành phố</t>
  </si>
  <si>
    <t>Dùng cho cơ quan thuế và cơ quan tài chính cấp dưới báo cáo UBND cùng cấp; UBND cấp dưới cung cấp số liệu cho cơ quan tài chính cấp trên báo cáo UBND cấp trên</t>
  </si>
  <si>
    <t>Dùng cho cơ quan tài chính, cơ quan kế hoạch và đầu tư cấp dưới báo cáo UBND cùng cấp; UBND cấp dưới cung cấp số liệu cho cơ quan tài chính, cơ quan kế hoạch và đầu tư cấp trên báo cáo UBND cấp trên</t>
  </si>
  <si>
    <t>Các cơ quan, đơn vị cung cấp số liệu cho cơ quan tài chính báo cáo UBND cùng cấp; UBND cấp dưới cung cấp số liệu cho cơ quan tài chính cấp trên báo cáo UBND cấp trên</t>
  </si>
  <si>
    <t>Các cơ quan, đơn vị cấp dưới báo cáo UBND cùng cấp; UBND cấp dưới cung cấp số liệu cho cơ quan kế hoạch và đầu tư và cơ quan tài chính cấp trên báo cáo UBND cấp trên</t>
  </si>
  <si>
    <t>Các cơ quan, đơn vị cấp dưới báo cáo UBND cùng cấp; UBND cấp dưới cung cấp số liệu cho cơ quan tài chính cấp trên báo cáo UBND cấp trên</t>
  </si>
  <si>
    <t>UBND cấp dưới cung cấp số liệu cho cơ quan tài chính cấp trên báo cáo UBND cấp trên</t>
  </si>
  <si>
    <t>Cục Thuế cung cấp số liệu cho Sở Tài chính báo cáo UBND thành phố</t>
  </si>
  <si>
    <t>UBND cấp dưới cung cấp số liệu cho cơ quan tài chính, cơ quan kế hoạch và đầu tư cấp trên báo cáo UBND cấp trên</t>
  </si>
  <si>
    <t>Các cơ quan, đơn vị, địa phương cung cấp số liệu cho Sở Kế hoạch và Đầu tư, Sở Tài chính báo cáo UBND thành phố</t>
  </si>
  <si>
    <t>Dự toán năm 2018</t>
  </si>
  <si>
    <t>Ước thực hiện năm 2018</t>
  </si>
  <si>
    <r>
      <t xml:space="preserve">Dự toán năm 2018 </t>
    </r>
    <r>
      <rPr>
        <sz val="12"/>
        <color indexed="8"/>
        <rFont val="Times New Roman"/>
        <family val="1"/>
      </rPr>
      <t>(hiện hành)</t>
    </r>
  </si>
  <si>
    <r>
      <t xml:space="preserve">Ước thực hiện năm 2018 </t>
    </r>
    <r>
      <rPr>
        <sz val="12"/>
        <color indexed="8"/>
        <rFont val="Times New Roman"/>
        <family val="1"/>
      </rPr>
      <t>(hiện hành)</t>
    </r>
  </si>
  <si>
    <t>Dự toán năm 2019</t>
  </si>
  <si>
    <t>Ban ngành huyện</t>
  </si>
  <si>
    <t>UBND thị trấn Cây Dương</t>
  </si>
  <si>
    <t>UBND thị trấn Kinh Cùng</t>
  </si>
  <si>
    <t xml:space="preserve">UBND xã Tân Bình </t>
  </si>
  <si>
    <t>UBND xã Thạnh Hòa</t>
  </si>
  <si>
    <t xml:space="preserve">UBND xã Long Thạnh </t>
  </si>
  <si>
    <t xml:space="preserve">UBND xã Tân Long </t>
  </si>
  <si>
    <t xml:space="preserve">UBND xã Phụng Hiệp </t>
  </si>
  <si>
    <t xml:space="preserve">UBND xã Hiệp Hưng </t>
  </si>
  <si>
    <t xml:space="preserve">UBND thị trấn Búng Tàu </t>
  </si>
  <si>
    <t xml:space="preserve">UBND xã Phương Phú </t>
  </si>
  <si>
    <t xml:space="preserve">UBND xã Phương Bình </t>
  </si>
  <si>
    <t xml:space="preserve">UBND xã Hòa An </t>
  </si>
  <si>
    <t xml:space="preserve">UBND xã Hòa Mỹ </t>
  </si>
  <si>
    <t>UBND xã Bình Thành</t>
  </si>
  <si>
    <t xml:space="preserve">Đội kiểm tra Chi cục thuế </t>
  </si>
  <si>
    <t>Công an huyện</t>
  </si>
  <si>
    <t>1. Thuế CTN ngoài quốc doanh</t>
  </si>
  <si>
    <t xml:space="preserve">2. Thuế thu nhập các nhân </t>
  </si>
  <si>
    <t xml:space="preserve">3. Thu tiền sử dụng đất </t>
  </si>
  <si>
    <t>6. Thu phạt ATGT</t>
  </si>
  <si>
    <t xml:space="preserve">7. Thu khác ngân sách </t>
  </si>
  <si>
    <t xml:space="preserve">I- Thu nội địa </t>
  </si>
  <si>
    <t>Phí môn bài</t>
  </si>
  <si>
    <t>Phí khác</t>
  </si>
  <si>
    <t>7=(8+9)</t>
  </si>
  <si>
    <t>2=(3+…7+10+11</t>
  </si>
  <si>
    <t>2=(3+…9)</t>
  </si>
  <si>
    <t>Tổng cộng 
phí lệ phí</t>
  </si>
  <si>
    <t xml:space="preserve">Lệ phí 
trước bạ </t>
  </si>
  <si>
    <t>Trợ cấp 
mục tiêu</t>
  </si>
  <si>
    <t>Trợ cấp
 cân đối</t>
  </si>
  <si>
    <t>Ngân sách cấp huyện</t>
  </si>
  <si>
    <t>Ngân sách xã</t>
  </si>
  <si>
    <t>KP thực hiện các chế độ chính sách</t>
  </si>
  <si>
    <t>Chi chuyển giao ngân sách</t>
  </si>
  <si>
    <t>Các khoản khác</t>
  </si>
  <si>
    <t xml:space="preserve">II. Thu trợ cấp 
ngân sách </t>
  </si>
  <si>
    <t xml:space="preserve">Phí
lệ 
phí </t>
  </si>
  <si>
    <t xml:space="preserve">I- Thu
 nội địa </t>
  </si>
  <si>
    <t>IV. Thu chuyển
 nguồn từ 
năm trước
 chuyển sang</t>
  </si>
  <si>
    <t>V. Tổng chi
 cân đối 
NSĐP</t>
  </si>
  <si>
    <t>Dự toán
NĂM 2019</t>
  </si>
  <si>
    <t>Mã dự án</t>
  </si>
  <si>
    <t>Địa điểm XD</t>
  </si>
  <si>
    <t>Số quyết định; ngày, tháng, năm ban hành</t>
  </si>
  <si>
    <t xml:space="preserve">TMĐT </t>
  </si>
  <si>
    <t>Cân đối ngân sách</t>
  </si>
  <si>
    <t>Xổ số kiến thiết</t>
  </si>
  <si>
    <t>Tiền sử dụng đất</t>
  </si>
  <si>
    <t>Huyện Phụng Hiệp</t>
  </si>
  <si>
    <t>1</t>
  </si>
  <si>
    <t>2</t>
  </si>
  <si>
    <t>3</t>
  </si>
  <si>
    <t>4</t>
  </si>
  <si>
    <t>5</t>
  </si>
  <si>
    <t>6</t>
  </si>
  <si>
    <t>7</t>
  </si>
  <si>
    <t>8</t>
  </si>
  <si>
    <t>9</t>
  </si>
  <si>
    <t>10</t>
  </si>
  <si>
    <t>11</t>
  </si>
  <si>
    <t>2017-2019</t>
  </si>
  <si>
    <t>2018-2020</t>
  </si>
  <si>
    <t>2019-2020</t>
  </si>
  <si>
    <t>Trường Tiểu học Long Thạnh 3</t>
  </si>
  <si>
    <t>4420/QĐ-UBND, 31/10/2018</t>
  </si>
  <si>
    <t>4415/QĐ-UBND, 31/10/2018</t>
  </si>
  <si>
    <t>Trường Tiểu học Thạnh Hòa 2</t>
  </si>
  <si>
    <t>4425/QĐ-UBND, 31/10/2018</t>
  </si>
  <si>
    <t>Trường Tiểu học Bình Thành</t>
  </si>
  <si>
    <t>4416/QĐ-UBND, 31/10/2018</t>
  </si>
  <si>
    <t>Trường Tiểu học Long Thạnh 1</t>
  </si>
  <si>
    <t>4419/QĐ-UBND, 31/10/2018</t>
  </si>
  <si>
    <t>Trường Tiểu học Phương Bình 1</t>
  </si>
  <si>
    <t>4422/QĐ-UBND, 31/10/2018</t>
  </si>
  <si>
    <t>Trường Tiểu học Tân Phước Hưng 2</t>
  </si>
  <si>
    <t>4424/QĐ-UBND, 31/10/2018</t>
  </si>
  <si>
    <t>Trường Tiểu học Tân Bình 4</t>
  </si>
  <si>
    <t>4423/QĐ-UBND, 31/10/2018</t>
  </si>
  <si>
    <t>Trường THCS Hòa Mỹ</t>
  </si>
  <si>
    <t>4426/QĐ-UBND, 31/10/2018</t>
  </si>
  <si>
    <t>Trường Tiểu học Mùa Xuân</t>
  </si>
  <si>
    <t>4421/QĐ-UBND, 31/10/2018</t>
  </si>
  <si>
    <t>Trường Tiểu học Hòa Mỹ 3</t>
  </si>
  <si>
    <t>4418/QĐ-UBND, 31/10/2018</t>
  </si>
  <si>
    <t xml:space="preserve">Trường Mẫu giáo Tân Phước Hưng, điểm Phó Đường, xã Tân Phước Hưng, huyện Phụng Hiệp; hạng mục: 02 phòng học, khu vệ sinh, nhà kho, hàng rào, sân chơi </t>
  </si>
  <si>
    <t xml:space="preserve">2322/UBND ngày 25/12/2017 </t>
  </si>
  <si>
    <t>Trường Tiểu học Phụng Hiệp, điểm Thắng Mỹ, xã Phụng Hiệp, huyện Phụng Hiệp; hạng mục: 03 phòng học, thiết bị</t>
  </si>
  <si>
    <t>Trường Tiểu học Thạnh Hòa 1, điểm ấp 3, xã Thạnh Hòa, huyện Phụng Hiệp; hạng mục: 03 phòng học, thiết bị</t>
  </si>
  <si>
    <t>Trường Tiểu học Thạnh Hòa 1, điểm ấp 3, xã Thạnh Hòa, huyện Phụng Hiệp; Hạng mục: 02 phòng học, thiết bị</t>
  </si>
  <si>
    <t>Trường Mẫu giáo Hòa Mỹ, điểm ấp 3, xã Hòa Mỹ, huyện Phụng Hiệp; hạng mục: 02 phòng học, sân chơi, hàng rào, thiết bị</t>
  </si>
  <si>
    <t xml:space="preserve"> 861/UBND ngày 16/5/2018 </t>
  </si>
  <si>
    <t>Lắp đặt đèn chiếu sáng trên Quốc lộ 1 và Quốc Lộ 61</t>
  </si>
  <si>
    <t>Đơn vị tính: Triệu đồng</t>
  </si>
  <si>
    <t>SỐ
TT</t>
  </si>
  <si>
    <t>CÁN BỘ - CNVC</t>
  </si>
  <si>
    <t xml:space="preserve">Hợp đồng </t>
  </si>
  <si>
    <t>Tổng trong định mức và hoạt động bổ sung</t>
  </si>
  <si>
    <t>Trong định mức</t>
  </si>
  <si>
    <t>Ngoài định mức</t>
  </si>
  <si>
    <t>Tổng cộng trong định mức</t>
  </si>
  <si>
    <t>Lương ngạch bậc, PC chức vụ</t>
  </si>
  <si>
    <t>Các khoản đóng góp</t>
  </si>
  <si>
    <t>Hoạt động</t>
  </si>
  <si>
    <t>TỔNG CHI</t>
  </si>
  <si>
    <t>SỰ NGHIỆP KINH TẾ</t>
  </si>
  <si>
    <t>Sự nghiệp thủy lợi phí</t>
  </si>
  <si>
    <t>SỰ NGHIỆP VĂN HÓA - XÃ HỘI</t>
  </si>
  <si>
    <t>Trung tâm Văn hóa - Thông tin - Thể thao</t>
  </si>
  <si>
    <t xml:space="preserve"> - Văn hóa </t>
  </si>
  <si>
    <t xml:space="preserve"> - Thông tin</t>
  </si>
  <si>
    <t xml:space="preserve"> - Thể dục thể thao</t>
  </si>
  <si>
    <t>Đài Truyền thanh</t>
  </si>
  <si>
    <t>Sự nghiệp khoa học</t>
  </si>
  <si>
    <t>Sự nghiệp môi trường</t>
  </si>
  <si>
    <t>Sự nghiệp đào tạo dạy nghề</t>
  </si>
  <si>
    <t xml:space="preserve">                      + Trung tâm GDNN-GDTX</t>
  </si>
  <si>
    <t>QUẢN LÝ HÀNH CHÍNH</t>
  </si>
  <si>
    <t>*</t>
  </si>
  <si>
    <t>QUẢN LÝ NHÀ NƯỚC</t>
  </si>
  <si>
    <t>Văn phòng HĐND-UBND</t>
  </si>
  <si>
    <t>Phòng Kinh tế và Hạ tầng</t>
  </si>
  <si>
    <t>Phòng Tài nguyên Môi trường</t>
  </si>
  <si>
    <t>Phòng Nông nghiệp và PTNT</t>
  </si>
  <si>
    <t>Thanh tra huyện</t>
  </si>
  <si>
    <t>Phòng Tư Pháp</t>
  </si>
  <si>
    <t>Phòng Tài chính Kế hoạch</t>
  </si>
  <si>
    <t>Phòng Lao động - TBXH</t>
  </si>
  <si>
    <t>Phòng Nội vụ</t>
  </si>
  <si>
    <t>Phòng Giáo dục và Đào tạo</t>
  </si>
  <si>
    <t>BCH Huyện Đoàn</t>
  </si>
  <si>
    <t>Hội Liên hiệp Phụ nữ</t>
  </si>
  <si>
    <t>UB Mật trận Tổ quốc</t>
  </si>
  <si>
    <t>Hội Cựu chiến binh</t>
  </si>
  <si>
    <t>CÁC TỔ CHỨC XÃ HỘI</t>
  </si>
  <si>
    <t>Hội Khuyến học</t>
  </si>
  <si>
    <t>Hội Luật gia</t>
  </si>
  <si>
    <t>KINH PHÍ ĐẢNG</t>
  </si>
  <si>
    <t>Văn phòng Huyện ủy</t>
  </si>
  <si>
    <t>KHỐI AN NINH - QUỐC PHÒNG</t>
  </si>
  <si>
    <t>CHI KHÁC NGÂN SÁCH</t>
  </si>
  <si>
    <t xml:space="preserve">CHI KHEN THƯỞNG </t>
  </si>
  <si>
    <t xml:space="preserve"> -Các khoản đóng góp cán bộ, công chức 22,5%.</t>
  </si>
  <si>
    <t xml:space="preserve"> -Các khoản đóng góp viên chức, hợp đồng 23,5%.</t>
  </si>
  <si>
    <t>Sự nghiệp kinh tế</t>
  </si>
  <si>
    <t>Số 
TT</t>
  </si>
  <si>
    <t>Nội dung chi</t>
  </si>
  <si>
    <t>Tổng chi</t>
  </si>
  <si>
    <t>Phụ cấp công vụ 25%</t>
  </si>
  <si>
    <t>Cán bộ hưu</t>
  </si>
  <si>
    <t>Chi phụ cấp cấp ủy</t>
  </si>
  <si>
    <t xml:space="preserve"> * Định mức chi ngân sách xã, thị trấn nêu trên bao gồm tất cả các nhiệm vụ chi theo phân cấp của Luật Ngân sách Nhà nước và các chế độ chính sách của Nhà nước ban hành.  </t>
  </si>
  <si>
    <t xml:space="preserve"> * Hoạt động theo định mức trích 10% tạo nguồn cải cách tiền lương theo quy định.</t>
  </si>
  <si>
    <t xml:space="preserve">UBND xã Tân Phước Hưng </t>
  </si>
  <si>
    <t>Lĩnh vực giao thông</t>
  </si>
  <si>
    <t>Lĩnh vực văn hoá</t>
  </si>
  <si>
    <t>Trụ sở làm việc</t>
  </si>
  <si>
    <t>Lĩnh vực khác</t>
  </si>
  <si>
    <t>ĐÁNH GIÁ CÂN ĐỐI NGUỒN THU, CHI NGÂN SÁCH HUYỆN NĂM 2018</t>
  </si>
  <si>
    <t>Chi thuộc nhiệm vụ của ngân sách cấp huyện</t>
  </si>
  <si>
    <t xml:space="preserve">Ban ngành huyện </t>
  </si>
  <si>
    <t>S
T
T</t>
  </si>
  <si>
    <t>Tên đơn vị
(1)</t>
  </si>
  <si>
    <t>Tổng thu
ngân sách 
nhà nước
trên địa 
bàn</t>
  </si>
  <si>
    <t xml:space="preserve">Bao gồm </t>
  </si>
  <si>
    <t>2. Thu thuế 
sử sụng
đất phi
nông nghiệp</t>
  </si>
  <si>
    <t>3. Thuế thu 
nhập cá 
nhân</t>
  </si>
  <si>
    <t xml:space="preserve">4. Thu tiền
sử dụng 
đất </t>
  </si>
  <si>
    <t>5. Lệ phí 
trước bạ</t>
  </si>
  <si>
    <t>6. Phí lệ phí</t>
  </si>
  <si>
    <t>7. Thu 
khác
 ngân 
sách</t>
  </si>
  <si>
    <t>TỔNG SỐ (2)</t>
  </si>
  <si>
    <t>ĐVT: Triệu đồng</t>
  </si>
  <si>
    <t>Số TT</t>
  </si>
  <si>
    <t>Chỉ tiêu</t>
  </si>
  <si>
    <t>THU NGÂN SÁCH NHÀ NƯỚC TRÊN ĐỊA BÀN</t>
  </si>
  <si>
    <t>Thu thuế, phí, lệ phí</t>
  </si>
  <si>
    <t xml:space="preserve"> - Thuế công thương nghiệp ngoài quốc doanh</t>
  </si>
  <si>
    <t xml:space="preserve"> - Thuế thu nhập cá nhân</t>
  </si>
  <si>
    <t xml:space="preserve"> - Thu tiền sử dụng đất</t>
  </si>
  <si>
    <t xml:space="preserve"> - Lệ phí trước bạ</t>
  </si>
  <si>
    <t xml:space="preserve"> - Phí - lệ phí</t>
  </si>
  <si>
    <t>Thu phạt an toàn giao thông</t>
  </si>
  <si>
    <t>Thu trợ cấp</t>
  </si>
  <si>
    <t xml:space="preserve">Trợ cấp cân đối </t>
  </si>
  <si>
    <t>THU NGÂN SÁCH ĐỊA PHƯƠNG</t>
  </si>
  <si>
    <t xml:space="preserve">Thu cân đối ngân sách </t>
  </si>
  <si>
    <t xml:space="preserve">   - Thu điều tiết</t>
  </si>
  <si>
    <t xml:space="preserve">   - Thu trợ cấp </t>
  </si>
  <si>
    <t>CHI NGÂN SÁCH ĐỊA PHƯƠNG</t>
  </si>
  <si>
    <t>Chi ngân sách huyện</t>
  </si>
  <si>
    <t>- Chi từ nguồn vốn CTMTQG</t>
  </si>
  <si>
    <t xml:space="preserve">  + Chương trình mục tiêu quốc gia giảm nghèo bền vững</t>
  </si>
  <si>
    <t xml:space="preserve">  + Chương trình mục tiêu quốc gia xây dựng NTM</t>
  </si>
  <si>
    <t xml:space="preserve"> - Sư nghiệp kinh tế</t>
  </si>
  <si>
    <t xml:space="preserve"> - Sự nghiệp nghiên cứu khoa học</t>
  </si>
  <si>
    <t xml:space="preserve"> - Sự nghiệp môi trường</t>
  </si>
  <si>
    <t xml:space="preserve"> - Sư nghiệp giáo dục</t>
  </si>
  <si>
    <t xml:space="preserve"> - Sự nghiệp đào tạo và dạy nghề</t>
  </si>
  <si>
    <t xml:space="preserve"> - Chi Quản lý hành chính</t>
  </si>
  <si>
    <t xml:space="preserve">  + Nhà nước </t>
  </si>
  <si>
    <t xml:space="preserve">  + Đảng</t>
  </si>
  <si>
    <t xml:space="preserve">  + Đoàn thể và các tổ chức chính trị, xã hội khác</t>
  </si>
  <si>
    <t xml:space="preserve"> - Chi an ninh quốc phòng</t>
  </si>
  <si>
    <t>Chi mục tiêu</t>
  </si>
  <si>
    <t>*Các chế độ chính sách tính vào sự nghiệp giáo dục</t>
  </si>
  <si>
    <t xml:space="preserve"> - Kinh phí hỗ trợ tiền ăn trưa trẻ 3-5 tuổi</t>
  </si>
  <si>
    <t xml:space="preserve"> - Kinh phí hỗ trợ học bổng, chi phí học tập cho học sinh khuyết tật (TTLT 42)</t>
  </si>
  <si>
    <t>*Các chế độ chính sách tính vào đảm bảo xã hội</t>
  </si>
  <si>
    <t>Tiết kiệm 10% chi cải cách tiền lương</t>
  </si>
  <si>
    <t>Chi khen thưởng</t>
  </si>
  <si>
    <t xml:space="preserve">Dự phòng ngân sách </t>
  </si>
  <si>
    <t>Chi ngân sách xã</t>
  </si>
  <si>
    <t xml:space="preserve">Chi thường xuyên </t>
  </si>
  <si>
    <t xml:space="preserve"> </t>
  </si>
  <si>
    <t>Sự nghiệp Văn hóa - Xã hội</t>
  </si>
  <si>
    <t>Sự nghiệp đào tạo - dạy nghề</t>
  </si>
  <si>
    <t>Chi sự nghiệp phát thanh</t>
  </si>
  <si>
    <t>Chi QLNN, đảng, đoàn thể</t>
  </si>
  <si>
    <t xml:space="preserve"> - Chi QLNN</t>
  </si>
  <si>
    <t xml:space="preserve"> - Chi công tác đảng</t>
  </si>
  <si>
    <t xml:space="preserve"> - Chi đoàn thể</t>
  </si>
  <si>
    <t xml:space="preserve"> - Chi các tổ chức xã hội</t>
  </si>
  <si>
    <t>Chi quốc phòng-an ninh</t>
  </si>
  <si>
    <t xml:space="preserve"> - Chi quốc phòng</t>
  </si>
  <si>
    <t xml:space="preserve"> - Chi an ninh</t>
  </si>
  <si>
    <t>Chi khác NS</t>
  </si>
  <si>
    <t>Chi dự phòng ngân sách</t>
  </si>
  <si>
    <t>VIII</t>
  </si>
  <si>
    <t>Chi dự phòng NS</t>
  </si>
  <si>
    <t>IX</t>
  </si>
  <si>
    <t>X</t>
  </si>
  <si>
    <t>Phụ lục I</t>
  </si>
  <si>
    <t xml:space="preserve">DANH MỤC ĐIỀU CHỈNH, BỔ SUNG KẾ HOẠCH VỐN ĐẦU TƯ CÔNG TRUNG HẠN 2016 - 2020 </t>
  </si>
  <si>
    <t>(Nguồn: Cân đối ngân sách địa phương)</t>
  </si>
  <si>
    <t>(Đính kèm Tờ trình số:             /TTr-UBND ngày            /                 /2018 của UBND huyện Phụng Hiệp)</t>
  </si>
  <si>
    <t>TT</t>
  </si>
  <si>
    <t>Địa điểm</t>
  </si>
  <si>
    <t>Năng lực</t>
  </si>
  <si>
    <t>Thời gian
 KC-HT</t>
  </si>
  <si>
    <t xml:space="preserve">Quyết định đầu tư </t>
  </si>
  <si>
    <t>Lũy kế vốn bố trí từ khởi công đến hết năm 2015</t>
  </si>
  <si>
    <t xml:space="preserve">Kế hoạch vốn đã bố trí các năm 2016, 2017, 2018 </t>
  </si>
  <si>
    <t>Kế hoạch trung hạn giai đoạn 2016 - 2020 đã giao</t>
  </si>
  <si>
    <t>Đề xuất, điều chỉnh kế hoạch trung hạn giai đoạn 2016 - 2020 vốn CĐNSĐP</t>
  </si>
  <si>
    <t>Kế hoạch trung hạn giai đoạn 2016 - 2020 sau điều chỉnh</t>
  </si>
  <si>
    <t>Ghi chú (nêu rõ nguyên nhân điều chỉnh)</t>
  </si>
  <si>
    <t>Số QĐ; ngày, tháng, năm ban hành</t>
  </si>
  <si>
    <t>Trong đó: Cân đối ngân sách</t>
  </si>
  <si>
    <t>Trong đó: Vốn CĐNSĐP</t>
  </si>
  <si>
    <t>Tăng</t>
  </si>
  <si>
    <t>Giảm</t>
  </si>
  <si>
    <t>TỔNG CỘNG</t>
  </si>
  <si>
    <t>1043/QĐ-UBND ngày 11/7/2018</t>
  </si>
  <si>
    <t>Kết luận của Bí thư tỉnh ủy; đã có chủ trương đầu tư tại quyết định số 1043/QĐ-UBND, 11/7/2018</t>
  </si>
  <si>
    <t>Trường Mẫu giáo Long Thạnh (điểm kênh bà chủ )</t>
  </si>
  <si>
    <t>Trường Mẫu giáo Long Thạnh, điểm Long Trường 3, xã Long Thạnh, huyện Phụng Hiệp; hạng mục: Cải tạo 04 phòng học cũ thành 02 phòng học mẫu giáo và 01 phòng chức năng</t>
  </si>
  <si>
    <t>1172/QĐ-UBND ngày 05/7/2017</t>
  </si>
  <si>
    <t>Trường Mẫu giáo Tân Long, điểm Long Phụng, xã Tân Long, huyện Phụng Hiệp; Hạng mục: 02 phòng học, sân chơi, hàng rào, đồ chơi ngoài trời.</t>
  </si>
  <si>
    <t>301/QĐ-SKHĐT ngày 11/12/2017</t>
  </si>
  <si>
    <t>Trường Mẫu giáo Tân Phước Hưng, điểm Thành Viên, xã Tân Phước Hưng, huyện Phụng Hiệp; Hạng mục: 02 phòng học, sân chơi, hàng rào, đồ chơi ngoài trời.</t>
  </si>
  <si>
    <t>302/QĐ-SKHĐT ngày 11/12/2017</t>
  </si>
  <si>
    <t>Trường Trung học cơ sở Hoà Mỹ, xã Hoà Mỹ, huyện Phụng Hiệp. Hạng mục: 04 phòng học, khu vệ sinh, hàng rào, sân chơi;</t>
  </si>
  <si>
    <t>304/QĐ-SKHĐT ngày 11/12/2017</t>
  </si>
  <si>
    <t>Trường Tiểu học Tân Phước Hưng 3, điểm Phó Đường, xã Tân Phước Hưng, huyện Phụng Hiệp. Hạng mục: 03 phòng học, sân chơi, khu vệ sinh, cổng trường, hàng rào, thiết bị;</t>
  </si>
  <si>
    <t>303/QĐ-SKHĐT ngày 11/12/2017</t>
  </si>
  <si>
    <t>Trường Mẫu giáo Hoà Mỹ, điểm ấp 4, xã Hoà Mỹ, huyện Phụng Hiệp. Hạng mục: 02 phòng học, sân chơi, thiết bị</t>
  </si>
  <si>
    <t>2016-2017</t>
  </si>
  <si>
    <t>1507/QĐ-UBND ngày 10/10/2016</t>
  </si>
  <si>
    <t>Trường tiểu học Tân Bình 2; Hạng mục: 03 phòng học, nhà vệ sinh</t>
  </si>
  <si>
    <t>967/QĐ-UBND ngày 16/7/2015</t>
  </si>
  <si>
    <t>Trường Mẫu giáo Hiệp Hưng, ấp Long Phụng, xã Hiệp Hưng, huyện Phụng Hiệp. Hạng mục: 02 phòng học, sân chơi, thiết bị</t>
  </si>
  <si>
    <t>1279/QĐ-UBND ngày 26/8/2016</t>
  </si>
  <si>
    <t xml:space="preserve">Chi hoạt động xây dựng các tiêu chí xã nông thôn mới, xã văn hóa, thị trấn văn minh đô thị </t>
  </si>
  <si>
    <t>HOẠT ĐỘNG QUẢN LÝ HÀNH CHÍNH</t>
  </si>
  <si>
    <t>CHI THƯỜNG XUYÊN</t>
  </si>
  <si>
    <t>LƯƠNG, PHỤ CẤP VÀ CÁC KHOẢN ĐÓNG GÓP</t>
  </si>
  <si>
    <t>DỰ PHÒNG NGÂN SÁCH (2%)</t>
  </si>
  <si>
    <t>SỐ ẤP</t>
  </si>
  <si>
    <t xml:space="preserve"> * LL không chuyên trách xã: BHXH 14%, BHYT 3%; Không chuyên trách ấp:  BHYT 3%</t>
  </si>
  <si>
    <t>Đội NVQLT Chi cục thuế</t>
  </si>
  <si>
    <t xml:space="preserve">5. Phí, lệ phí </t>
  </si>
  <si>
    <t xml:space="preserve">CÁC CƠ QUAN, ĐƠN VỊ HÀNH CHÍNH SỰ NGHIỆP </t>
  </si>
  <si>
    <t>Kinh phí hoạt động công tác đảng</t>
  </si>
  <si>
    <t>Tiết kiệm 10%</t>
  </si>
  <si>
    <t>SNGD</t>
  </si>
  <si>
    <t xml:space="preserve">hoạt động </t>
  </si>
  <si>
    <t>Tiết kiệm</t>
  </si>
  <si>
    <r>
      <t xml:space="preserve"> *</t>
    </r>
    <r>
      <rPr>
        <b/>
        <i/>
        <u/>
        <sz val="11"/>
        <rFont val="Times New Roman"/>
        <family val="1"/>
      </rPr>
      <t>Ghi chú:</t>
    </r>
    <r>
      <rPr>
        <b/>
        <i/>
        <sz val="11"/>
        <rFont val="Times New Roman"/>
        <family val="1"/>
      </rPr>
      <t xml:space="preserve"> </t>
    </r>
  </si>
  <si>
    <t xml:space="preserve"> - Chi khác ngân sách </t>
  </si>
  <si>
    <t>* Kinh phí BS có mục tiêu</t>
  </si>
  <si>
    <t xml:space="preserve"> - KP trợ cấp tết cho đối tượng CB, CC, VC người lao động</t>
  </si>
  <si>
    <t xml:space="preserve">UBND Tân Phước Hưng </t>
  </si>
  <si>
    <t>1. Thu thuế CTN
 ngoài quốc 
doanh</t>
  </si>
  <si>
    <t>I - Thu nội 
địa (2)</t>
  </si>
  <si>
    <t>II - Thu
từ 
dầu 
thô
(3)</t>
  </si>
  <si>
    <t>III - Thu
từ 
hoạt
động
xuất 
nhập 
khẩu
(4)</t>
  </si>
  <si>
    <t xml:space="preserve"> - KP thực hiện CTMTQG </t>
  </si>
  <si>
    <t xml:space="preserve"> + Chương trình MTQG xây dựng NTM</t>
  </si>
  <si>
    <t xml:space="preserve"> + Chương trình MTQG giảm nghèo bền vững</t>
  </si>
  <si>
    <t xml:space="preserve"> - KP hỗ trợ tiền điện hộ nghèo</t>
  </si>
  <si>
    <t xml:space="preserve"> - KP hỗ trợ cai nghiện ma túy tự nguyện</t>
  </si>
  <si>
    <t xml:space="preserve"> - Kinh phí chúc thọ, mừng thọ</t>
  </si>
  <si>
    <t xml:space="preserve"> - Kinh phí trợ cấp ngày Thương binh Liệt sỹ 27/7</t>
  </si>
  <si>
    <t xml:space="preserve"> - Kinh phí hỗ trợ GV hợp đồng </t>
  </si>
  <si>
    <t>Chương trình mục tiêu quốc gia NTM 2020</t>
  </si>
  <si>
    <t>Chương trình mục tiêu quốc gia giảm nghèo bền vững 2020</t>
  </si>
  <si>
    <t>(Kèm theo Tờ trình số          /TTr-TCKH ngày        tháng       năm 2019 của Phòng TCKH huyện Phụng Hiệp)</t>
  </si>
  <si>
    <t>Dự toán năm 2020</t>
  </si>
  <si>
    <t>Thu từ cấp dưới nộp lên</t>
  </si>
  <si>
    <t>Chi nộp trả ngân sách cấp trên</t>
  </si>
  <si>
    <t>Thu các khoản huy động, đóng góp</t>
  </si>
  <si>
    <t>DỰ TOÁN CHI NGÂN SÁCH ĐỊA PHƯƠNG THEO CƠ CẤU CHI NĂM 2020</t>
  </si>
  <si>
    <t>Phụ lục số 01</t>
  </si>
  <si>
    <t>Phụ lục số 02</t>
  </si>
  <si>
    <t>Phụ lục số 03</t>
  </si>
  <si>
    <t>Phụ lục số 04</t>
  </si>
  <si>
    <t>Phụ lục số 05</t>
  </si>
  <si>
    <t>Phụ lục số 06</t>
  </si>
  <si>
    <t>Cán bộ, công chức</t>
  </si>
  <si>
    <t>Không chuyên trách xã (BHXH, BHYT: 17%)</t>
  </si>
  <si>
    <t>BHXH, BHYT, KPCĐ (CB,CC: 22,5%)</t>
  </si>
  <si>
    <t>Chi hoạt động Ban Thanh tra nhân dân</t>
  </si>
  <si>
    <t>TT Cây Dương (2)</t>
  </si>
  <si>
    <t>TT 
Kinh Cùng (2)</t>
  </si>
  <si>
    <t>Tân Bình (1)</t>
  </si>
  <si>
    <t>Thạnh Hoà (1)</t>
  </si>
  <si>
    <t>Long Thạnh (1)</t>
  </si>
  <si>
    <t>Tân Long (2)</t>
  </si>
  <si>
    <t xml:space="preserve">Phụng Hiệp (1) </t>
  </si>
  <si>
    <t>Hiệp Hưng (1)</t>
  </si>
  <si>
    <t>TT Búng Tàu (2)</t>
  </si>
  <si>
    <t>Tân Phước Hưng (1)</t>
  </si>
  <si>
    <t>Phương Phú (1)</t>
  </si>
  <si>
    <t>Phương Bình (1)</t>
  </si>
  <si>
    <t>Hòa An (1)</t>
  </si>
  <si>
    <t>Hoà Mỹ (1)</t>
  </si>
  <si>
    <t>Bình Thành (1)</t>
  </si>
  <si>
    <t>KP hỗ trợ sản xuất đất trồng lúa theo Nghị định số 62/2019/NĐ-CP và 35/2015/NĐ-CP</t>
  </si>
  <si>
    <t xml:space="preserve">                      + Học phí (kinh phí đào tạo)</t>
  </si>
  <si>
    <t>PC công vụ, PC khối đảng, PC ngành, PC khác</t>
  </si>
  <si>
    <t>- Chi đảm bảo xã hội</t>
  </si>
  <si>
    <t xml:space="preserve"> - Quỹ thác qua NHCSXH huyện</t>
  </si>
  <si>
    <t>(Kèm theo Tờ trình số          /TTr-PTCKH ngày        tháng       năm 2020 của Phòng TCKH huyện Phụng Hiệp)</t>
  </si>
  <si>
    <t xml:space="preserve">Chi đầu tư phát triển </t>
  </si>
  <si>
    <t>ĐÁNH GIÁ THỰC HIỆN THU NGÂN SÁCH NHÀ NƯỚC TRÊN ĐỊA BÀN HUYỆN NĂM 2020</t>
  </si>
  <si>
    <t>Dự toán năm 2020</t>
  </si>
  <si>
    <t>Ước thực hiện năm 2020</t>
  </si>
  <si>
    <t>ĐÁNH GIÁ THỰC HIỆN THU NGÂN SÁCH NHÀ NƯỚC TRÊN ĐỊA BÀN HUYỆN THEO LĨNH VỰC NĂM 2020</t>
  </si>
  <si>
    <t>(Kèm theo Tờ trình số       /TTr-PTCKH ngày        tháng 12 năm 2020 của PTCKH  huyện Phụng Hiệp)</t>
  </si>
  <si>
    <t xml:space="preserve">Sự nghiệp kinh tế </t>
  </si>
  <si>
    <t>Đào tạo 2,543</t>
  </si>
  <si>
    <t>Chi quản lý bảo trì đường bộ</t>
  </si>
  <si>
    <t>(Kèm theo Tờ trình số           /TTr-PTCKH ngày        tháng 12 năm 2020 của PTCKH  huyện Phụng Hiệp)</t>
  </si>
  <si>
    <t>CHI ỦY THÁC, HỖ TRỢ  TỪ NS HUYỆN</t>
  </si>
  <si>
    <t xml:space="preserve"> - Chi quỹ hỗ trợ nông dân</t>
  </si>
  <si>
    <t>(Kèm theo Tờ trình số           /TTr-UBND ngày        tháng       năm 2020 của UBND  huyện Phụng Hiệp )</t>
  </si>
  <si>
    <t>(Kèm theo Tờ trình số           /TTr-UBND ngày      tháng 12 năm 2020 của UBND  huyện Phụng Hiệp)</t>
  </si>
  <si>
    <t>(Kèm theo Tờ trình số           /TTr-UBND ngày        tháng 12 năm 2020 của UBND  huyện Phụng Hiệp)</t>
  </si>
  <si>
    <t>(Kèm theo Tờ trình số       /TTr-UBND ngày        tháng 12 năm 2020 của UBND huyện Phụng Hiệp)</t>
  </si>
  <si>
    <t>(Kèm theo Tờ trình số          /TTr-UBND ngày        tháng       năm 2020 của UBND huyện Phụng Hiệp)</t>
  </si>
  <si>
    <t>(Kèm theo Tờ trình số          /TTr-PTCKH ngày        tháng       năm 2020 của UBND huyện Phụng Hiệp)</t>
  </si>
  <si>
    <t>4=3-2</t>
  </si>
  <si>
    <t>5=3/2*100</t>
  </si>
  <si>
    <t>DỰ TOÁN CHI NGÂN SÁCH ĐỊA PHƯƠNG, CHI NGÂN SÁCH CẤP HUYỆN VÀ CHI NGÂN SÁCH XÃ THEO CƠ CẤU CHI NĂM 2021</t>
  </si>
  <si>
    <t>(Kèm theo Tờ trình số       /TTr-UBND ngày        tháng 12 năm 2020 của UBND  huyện Phụng Hiệp)</t>
  </si>
  <si>
    <t>DỰ TOÁN CHI THƯỜNG XUYÊN CỦA NGÂN SÁCH CẤP HUYỆN CHO TỪNG CƠ QUAN, TỔ CHỨC THEO LĨNH VỰC NĂM 2022</t>
  </si>
  <si>
    <t>DỰ TOÁN CHI CHƯƠNG TRÌNH MỤC TIÊU QUỐC GIA NGÂN SÁCH CẤP HUYỆN NĂM 2022</t>
  </si>
  <si>
    <t>Dự toán năm 2022</t>
  </si>
  <si>
    <t>Lê phí trước bạ
xe, tàu, thuyền</t>
  </si>
  <si>
    <t xml:space="preserve">4. Lệ phí trước bạ.
Trong đó
</t>
  </si>
  <si>
    <t xml:space="preserve"> Thuế trước 
bạ nhà đất</t>
  </si>
  <si>
    <t xml:space="preserve">
4. Lệ phí trước bạ.
Trong đó
</t>
  </si>
  <si>
    <t xml:space="preserve"> Lệ phí trước
 bạ nhà đất</t>
  </si>
  <si>
    <t xml:space="preserve">- Kinh phí quản lý, bảo trì bộ </t>
  </si>
  <si>
    <t xml:space="preserve">Kinh phí thực hiện các chế độ chính sách </t>
  </si>
  <si>
    <t xml:space="preserve">KP  bổ sung có mục tiêu </t>
  </si>
  <si>
    <t xml:space="preserve">- Chi từ nguồn cân đối ngân sách </t>
  </si>
  <si>
    <t>- Chi tư nguồn tăng thu tiền SDĐ</t>
  </si>
  <si>
    <t>- Chi từ nguồn XSKT</t>
  </si>
  <si>
    <t>TIẾT KIỆM 10% HOẠT ĐỘNG TẠO NGUỒN CCTL</t>
  </si>
  <si>
    <t>12</t>
  </si>
  <si>
    <t>Kinh phí Ban công tác mặt trận ở khu dân cư thực hiện cuộc vận động và các phong trào phát động ở địa phương</t>
  </si>
  <si>
    <t>- Truyền thanh</t>
  </si>
  <si>
    <t>4=5+12</t>
  </si>
  <si>
    <t>5=6+…+10</t>
  </si>
  <si>
    <t>- Kinh phí TW bổ sung có mục tiêu</t>
  </si>
  <si>
    <t xml:space="preserve"> - Sự nghiệp Văn hoá thông tin-thể dục thể thao và truyền thanh </t>
  </si>
  <si>
    <t xml:space="preserve">  + Kinh phí đảm bảo an ninh trật tự</t>
  </si>
  <si>
    <t xml:space="preserve"> - Kinh trợ cấp tết cho đối tượng chính sách, người có công, BTXH, hộ nghèo</t>
  </si>
  <si>
    <t>Kinh phí chúc thọ, mừng thọ</t>
  </si>
  <si>
    <t>Hoạt động đặc thù Thường trực Huyện uỷ</t>
  </si>
  <si>
    <t>Hoạt động đặc thù UBKT Huyện uỷ</t>
  </si>
  <si>
    <t>Hoạt động đặc thù Ban Dân vận Huyện uỷ</t>
  </si>
  <si>
    <t>Hoạt động đặc thù Ban Tổ chức Huyện uỷ</t>
  </si>
  <si>
    <t>Hoạt động đặc thù các Ban xây dựng đảng</t>
  </si>
  <si>
    <t>**</t>
  </si>
  <si>
    <t>***</t>
  </si>
  <si>
    <t>****</t>
  </si>
  <si>
    <t>(Kèm theo Tờ trình số           /TTr-PTCKH ngày      tháng 12 năm 2022 của Phòng TCKH  huyện Phụng Hiệp)</t>
  </si>
  <si>
    <t>(Kèm theo Tờ trình số              /TTr-PTCKH ngày        tháng 12 năm 2022 của PTCKH  huyện Phụng Hiệp)</t>
  </si>
  <si>
    <t>(Kèm theo Tờ trình số              /TTr-PTCKH ngày        tháng 12 năm 2022 của Phòng TCKH  huyện )</t>
  </si>
  <si>
    <t xml:space="preserve">- Kinh phí mua bảo hiểm y tế cho các đối tượng bảo trợ </t>
  </si>
  <si>
    <t xml:space="preserve">- Kinh phí giáo viên tăng thêm </t>
  </si>
  <si>
    <t>Phụ cấp LL Dân quân tự vệ ở xã, thị trấn (BHYT: 3%)</t>
  </si>
  <si>
    <t>13</t>
  </si>
  <si>
    <t>14</t>
  </si>
  <si>
    <t>TÊN ĐƠN VỊ</t>
  </si>
  <si>
    <t>Tổng
 số 
lớp</t>
  </si>
  <si>
    <t>Hợp đồng</t>
  </si>
  <si>
    <t>PCTNVK, PCTN nhà giáo, PCUĐ, PC trách nhiệm</t>
  </si>
  <si>
    <t>Mẫu giáo</t>
  </si>
  <si>
    <t>01</t>
  </si>
  <si>
    <t>Trường MG Sơn Ca</t>
  </si>
  <si>
    <t>02</t>
  </si>
  <si>
    <t>Trường MG Tân Bình 1</t>
  </si>
  <si>
    <t>03</t>
  </si>
  <si>
    <t>Trường MG Tân Bình 2</t>
  </si>
  <si>
    <t>04</t>
  </si>
  <si>
    <t>Trường MG Tân Long</t>
  </si>
  <si>
    <t>05</t>
  </si>
  <si>
    <t>Trường MG Long Thạnh</t>
  </si>
  <si>
    <t>06</t>
  </si>
  <si>
    <t>Trường MG Thạnh Hòa</t>
  </si>
  <si>
    <t>07</t>
  </si>
  <si>
    <t>08</t>
  </si>
  <si>
    <t>Trường MG Phương Phú</t>
  </si>
  <si>
    <t>09</t>
  </si>
  <si>
    <t>Trường MG Cây Dương</t>
  </si>
  <si>
    <t>Trường MG Hòa Mỹ</t>
  </si>
  <si>
    <t>Trường MG Hoa Hồng</t>
  </si>
  <si>
    <t>Trường MG Phụng Hiệp</t>
  </si>
  <si>
    <t>Trường MG Hòa An</t>
  </si>
  <si>
    <t>Trường MG Hương Sen</t>
  </si>
  <si>
    <t>15</t>
  </si>
  <si>
    <t>Trường MG Hiệp Hưng</t>
  </si>
  <si>
    <t>16</t>
  </si>
  <si>
    <t>Trường MG Tân Phước Hưng</t>
  </si>
  <si>
    <t>17</t>
  </si>
  <si>
    <t>Trường MG Bình Thành</t>
  </si>
  <si>
    <t>Tiểu học</t>
  </si>
  <si>
    <t>18</t>
  </si>
  <si>
    <t>Trường TH Mùa Xuân</t>
  </si>
  <si>
    <t>19</t>
  </si>
  <si>
    <t>Trường TH Tân Long 1</t>
  </si>
  <si>
    <t>20</t>
  </si>
  <si>
    <t>Trường TH Tân Long 2</t>
  </si>
  <si>
    <t>21</t>
  </si>
  <si>
    <t>Trường TH Long Thạnh 1</t>
  </si>
  <si>
    <t>22</t>
  </si>
  <si>
    <t>Trường TH Long Thạnh 2</t>
  </si>
  <si>
    <t>23</t>
  </si>
  <si>
    <t>Trường TH Long Thạnh 3</t>
  </si>
  <si>
    <t>24</t>
  </si>
  <si>
    <t>Trường TH Thạnh Hòa 1</t>
  </si>
  <si>
    <t>25</t>
  </si>
  <si>
    <t>Trường TH Thạnh Hòa 2</t>
  </si>
  <si>
    <t>26</t>
  </si>
  <si>
    <t>Trường TH Thạnh Hòa 3</t>
  </si>
  <si>
    <t>27</t>
  </si>
  <si>
    <t>Trường TH Tân Bình 1</t>
  </si>
  <si>
    <t>28</t>
  </si>
  <si>
    <t>Trường TH Tân Bình 2</t>
  </si>
  <si>
    <t>29</t>
  </si>
  <si>
    <t>Trường TH Tân Bình 3</t>
  </si>
  <si>
    <t>30</t>
  </si>
  <si>
    <t>Trường TH Tân Bình 4</t>
  </si>
  <si>
    <t>31</t>
  </si>
  <si>
    <t>Trường TH Bình Thành</t>
  </si>
  <si>
    <t>32</t>
  </si>
  <si>
    <t>Trường TH Thị trấn Kinh Cùng</t>
  </si>
  <si>
    <t>33</t>
  </si>
  <si>
    <t>Trường TH Kim Đồng</t>
  </si>
  <si>
    <t>34</t>
  </si>
  <si>
    <t>Trường TH Hòa An 1</t>
  </si>
  <si>
    <t>35</t>
  </si>
  <si>
    <t>Trường TH Hòa An 2</t>
  </si>
  <si>
    <t>36</t>
  </si>
  <si>
    <t>Trường TH Hòa An 3</t>
  </si>
  <si>
    <t>37</t>
  </si>
  <si>
    <t>Trường TH Phụng Hiệp</t>
  </si>
  <si>
    <t>38</t>
  </si>
  <si>
    <t>Trường TH Hiệp Hưng 1</t>
  </si>
  <si>
    <t>39</t>
  </si>
  <si>
    <t>Trường TH Hiệp Hưng 2</t>
  </si>
  <si>
    <t>40</t>
  </si>
  <si>
    <t>Trường TH Cây Dương 1</t>
  </si>
  <si>
    <t>41</t>
  </si>
  <si>
    <t>Trường TH Cây Dương 2</t>
  </si>
  <si>
    <t>42</t>
  </si>
  <si>
    <t>Trường TH Hòa Mỹ 1</t>
  </si>
  <si>
    <t>43</t>
  </si>
  <si>
    <t>Trường TH Hòa Mỹ 2</t>
  </si>
  <si>
    <t>44</t>
  </si>
  <si>
    <t>Trường TH Hòa Mỹ 3</t>
  </si>
  <si>
    <t>45</t>
  </si>
  <si>
    <t>Trường TH Phương Bình 1</t>
  </si>
  <si>
    <t>46</t>
  </si>
  <si>
    <t>Trường TH Phương Bình 2</t>
  </si>
  <si>
    <t>47</t>
  </si>
  <si>
    <t>Trường TH Búng Tàu</t>
  </si>
  <si>
    <t>48</t>
  </si>
  <si>
    <t xml:space="preserve">Trường TH Tân Phước Hưng </t>
  </si>
  <si>
    <t>49</t>
  </si>
  <si>
    <t>Trường TH và THCS Phương Ninh</t>
  </si>
  <si>
    <t>50</t>
  </si>
  <si>
    <t>Trường TH Phương Phú 1</t>
  </si>
  <si>
    <t>51</t>
  </si>
  <si>
    <t>Trường TH Phương Phú 2</t>
  </si>
  <si>
    <t>Trung học cơ sở</t>
  </si>
  <si>
    <t>52</t>
  </si>
  <si>
    <t>53</t>
  </si>
  <si>
    <t>Trường THCS Bình Thành</t>
  </si>
  <si>
    <t>54</t>
  </si>
  <si>
    <t>Trường THCS Búng Tàu</t>
  </si>
  <si>
    <t>55</t>
  </si>
  <si>
    <t>Trường THCS Hiệp Hưng</t>
  </si>
  <si>
    <t>56</t>
  </si>
  <si>
    <t>57</t>
  </si>
  <si>
    <t>Trường THCS Hưng Điền</t>
  </si>
  <si>
    <t>58</t>
  </si>
  <si>
    <t>Trường THCS Kinh Cùng</t>
  </si>
  <si>
    <t>59</t>
  </si>
  <si>
    <t>Trường THCS Long Thạnh</t>
  </si>
  <si>
    <t>60</t>
  </si>
  <si>
    <t>Trường THCS Phương Phú</t>
  </si>
  <si>
    <t>61</t>
  </si>
  <si>
    <t>Trường THCS Tân Bình</t>
  </si>
  <si>
    <t>62</t>
  </si>
  <si>
    <t>Trường THCS Tân Long</t>
  </si>
  <si>
    <t>63</t>
  </si>
  <si>
    <t>Trường THCS Tây Đô</t>
  </si>
  <si>
    <t>64</t>
  </si>
  <si>
    <t>Trường THCS Thạnh Hòa</t>
  </si>
  <si>
    <t>- Hỗ trợ ngày 20/11</t>
  </si>
  <si>
    <t>- Kiêm nhiệm thủ quỹ</t>
  </si>
  <si>
    <t>- Phụ cấp GV mầm non dạy bán trú</t>
  </si>
  <si>
    <t>- KP tăng lương TX và đột xuất</t>
  </si>
  <si>
    <t xml:space="preserve">                      + Trung tâm Chính trị</t>
  </si>
  <si>
    <t>KHỐI UBMTTQ VÀ CÁC ĐOÀN THỂ</t>
  </si>
  <si>
    <t>Hội Người mù - CĐDC - KT&amp;BVQTE</t>
  </si>
  <si>
    <t xml:space="preserve"> - Lương và hoạt động Khối đảng </t>
  </si>
  <si>
    <t>KP hỗ 
trợ tết</t>
  </si>
  <si>
    <t>Kiến thiết thị chính</t>
  </si>
  <si>
    <t>* Hoạt động đặc thù Văn phòng HĐND-UBND</t>
  </si>
  <si>
    <t>* Hoạt động đặc thù Thường trực HĐND</t>
  </si>
  <si>
    <t xml:space="preserve"> - Các nhiệm vụ chi đặc thù khác VPHU</t>
  </si>
  <si>
    <t xml:space="preserve"> - Hỗ trợ các cơ quan trung ương đóng trên địa bàn</t>
  </si>
  <si>
    <t xml:space="preserve"> - Hỗ trợ cộng tác viên dân số </t>
  </si>
  <si>
    <t>KP CÁC TRƯỜNG TRỰC THUỘC</t>
  </si>
  <si>
    <t>KP hoạt động chuyên môn</t>
  </si>
  <si>
    <t>Mua sắm trang thiết bị phục vụ thay sách</t>
  </si>
  <si>
    <t>KP hóa chất xử lý mối</t>
  </si>
  <si>
    <t>KP trang phục thể dục, thể thao</t>
  </si>
  <si>
    <t>KP SNGD có tính chất XDCB</t>
  </si>
  <si>
    <t>KP khen thưởng</t>
  </si>
  <si>
    <t>KP ĐẶC THÙ CỦA NGÀNH</t>
  </si>
  <si>
    <t>Tiền ăn trẻ em 3-5 tuổi</t>
  </si>
  <si>
    <t>HT khuyết tật theo TT 42</t>
  </si>
  <si>
    <t>TIẾT KIỆM 10% CCTL</t>
  </si>
  <si>
    <t>CÁC CHẾ ĐỘ CHÍNH SÁCH</t>
  </si>
  <si>
    <t>Công an huyện (KP đảm bảo an ninh trật tự)</t>
  </si>
  <si>
    <t>- KP hỗ trợ trực ANQP</t>
  </si>
  <si>
    <t>- KP hỗ trợ trực an ninh</t>
  </si>
  <si>
    <t>- Chi ủy thác và chi hỗ trợ các cơ quan trung ương</t>
  </si>
  <si>
    <t>Cộng tác viên xã hội (NQ số 10/NQ-HĐND tỉnh)</t>
  </si>
  <si>
    <t>Kinh phí hỗ trợ sử dụng sản phẩm, dịch vụ công ích</t>
  </si>
  <si>
    <t>KP bảo trì phần mềm và chuyển đổi số</t>
  </si>
  <si>
    <t>(Kèm theo Tờ trình số        /TTr-PTCKH ngày     tháng 11 năm 2023 của Phòng Tài chính Kế hoạch huyện Phụng Hiệp)</t>
  </si>
  <si>
    <t>Hoạt động theo định mức lớp</t>
  </si>
  <si>
    <t>60% thu học phí</t>
  </si>
  <si>
    <t>Hoạt động ngân sách bổ sung</t>
  </si>
  <si>
    <t>ĐÁNH GIÁ CÂN ĐỐI NGÂN SÁCH ĐỊA PHƯƠNG NĂM 2023</t>
  </si>
  <si>
    <t>(Kèm theo Tờ trình số          /TTr-PTCKH ngày        tháng       năm 2023 của Phòng TCKH huyện Phụng Hiệp)</t>
  </si>
  <si>
    <t>Dự toán năm 2023</t>
  </si>
  <si>
    <t>ĐÁNH GIÁ THỰC HIỆN THU NGÂN SÁCH NHÀ NƯỚC THEO LĨNH VỰC NĂM 2023</t>
  </si>
  <si>
    <t>ĐÁNH GIÁ THỰC HIỆN CHI NGÂN SÁCH ĐỊA PHƯƠNG THEO CƠ CẤU CHI NĂM 2023</t>
  </si>
  <si>
    <t>CÂN ĐỐI NGÂN SÁCH ĐỊA PHƯƠNG NĂM 2023</t>
  </si>
  <si>
    <t>Ước thực hiện năm 2023</t>
  </si>
  <si>
    <t>Dự toán năm 2024</t>
  </si>
  <si>
    <t>DỰ TOÁN THU NGÂN SÁCH NHÀ NƯỚC THEO LĨNH VỰC NĂM 2023</t>
  </si>
  <si>
    <t xml:space="preserve">  + Kinh phí thực hiện đề án 01</t>
  </si>
  <si>
    <t>- Kinh phí chuyển đổi số theo NQ số 02-NQ/TU ngày 02/12/2020</t>
  </si>
  <si>
    <t>HỖ TRỢ CÁC CHÍNH SÁCH, AN NINH TRẬT TỰ</t>
  </si>
  <si>
    <t>Phụ lục số I</t>
  </si>
  <si>
    <t>DANH MỤC KẾ HOẠCH ĐẦU TƯ CÔNG NĂM 2024 VỐN NGÂN SÁCH ĐỊA PHƯƠNG</t>
  </si>
  <si>
    <t>(Kèm theo Tờ trình số        TTr -TCKH ngày      tháng 11 năm 2023 của phòng Tài chính Kế hoạch huyện Phụng Hiệp)</t>
  </si>
  <si>
    <t>Thời gian bắt đầu</t>
  </si>
  <si>
    <t>Thời gian kết thúc</t>
  </si>
  <si>
    <t>Quyết định đầu tư/Quyết định chủ trương đầu tư</t>
  </si>
  <si>
    <t>Lũy kế vốn bố trí từ khởi công đến hết năm 2020</t>
  </si>
  <si>
    <t>Lũy kế giải ngân từ khởi công đến hết ngày 31/01/2021</t>
  </si>
  <si>
    <t>Kế hoạch năm 2021 đã được giao</t>
  </si>
  <si>
    <t>Nhu cầu đầu tư 5 năm 2021-2025</t>
  </si>
  <si>
    <t>Tổng Kế hoạch trung hạn 5 năm giai đoạn 2021 - 2025</t>
  </si>
  <si>
    <t>Tăng (+),
Giảm (-) theo QĐ 784/QĐ-UBND, 12/5/2023 (lần 4)</t>
  </si>
  <si>
    <t>Kế hoạch  điều chỉnh, bổ sung</t>
  </si>
  <si>
    <t>Tăng (+),
Giảm (-) theo QĐ 1281/QĐ-UBND, 28/7/2023 (lần 5)</t>
  </si>
  <si>
    <t>Tăng (+),
Giảm (-) theo QĐ 1347/QĐ-UBND, 08/8/2023</t>
  </si>
  <si>
    <t>Tăng (+),
Giảm (-) theo QĐ /QĐ-UBND, 10/2023 (lần 6)</t>
  </si>
  <si>
    <t>Kế hoạch trung hạn 5 năm giai đoạn 2021 - 2025</t>
  </si>
  <si>
    <t xml:space="preserve">Thời gian khởi công </t>
  </si>
  <si>
    <t>Thời gian hoàn thành</t>
  </si>
  <si>
    <t>Kế hoạch năm 2021</t>
  </si>
  <si>
    <t>Giải ngân Kế hoạch năm 2021</t>
  </si>
  <si>
    <t>Kế hoạch năm 2022</t>
  </si>
  <si>
    <t>Giải ngân Kế hoạch năm 2022</t>
  </si>
  <si>
    <t>Kế hoạch năm 2023</t>
  </si>
  <si>
    <t>Kế hoạch năm 2024</t>
  </si>
  <si>
    <t>KH 2025</t>
  </si>
  <si>
    <t>Kiểu dự án</t>
  </si>
  <si>
    <t>Loại dự án</t>
  </si>
  <si>
    <t>Nhóm dự án</t>
  </si>
  <si>
    <t>Ngành, lĩnh vực theo NQ 973</t>
  </si>
  <si>
    <t>Tiến độ thực hiện (Chưa thi công)</t>
  </si>
  <si>
    <t>TMĐT</t>
  </si>
  <si>
    <t>Trong đó: NSĐP</t>
  </si>
  <si>
    <t>Tổng số (tất cả các nguồn vốn</t>
  </si>
  <si>
    <t>Trong đó: XSKT</t>
  </si>
  <si>
    <t>Tổng số NSĐP</t>
  </si>
  <si>
    <t xml:space="preserve">Trong đó: </t>
  </si>
  <si>
    <t xml:space="preserve">Tăng thu năm 2020. Trong đó: </t>
  </si>
  <si>
    <t xml:space="preserve">Tăng thu năm 2021. Trong đó: </t>
  </si>
  <si>
    <t xml:space="preserve">Tăng thu năm 2022. Trong đó: </t>
  </si>
  <si>
    <t>Thu tiền sử dụng đất (từ 10% nguồn thu vượt tiền sử dụng đất năm 2022 và 10% nguồn thu tiền sử dụng đất năm 2023)</t>
  </si>
  <si>
    <t>Chương trình phục hồi và phát triển kinh tế - xã hội</t>
  </si>
  <si>
    <t>Chương trình Mục tiêu quốc gia</t>
  </si>
  <si>
    <t>CĐNS</t>
  </si>
  <si>
    <t>XSKT</t>
  </si>
  <si>
    <t>Bội chi ngân sách địa phương</t>
  </si>
  <si>
    <t>Thu vượt tiền sử dụng đất năm 2020</t>
  </si>
  <si>
    <t>Thu vượt XSKT năm 2020</t>
  </si>
  <si>
    <t>Thu tiền sử dụng đất Khu tái định cư - dân cư khu hành chính Tỉnh ủy (phần mở rộng)</t>
  </si>
  <si>
    <t>Thu vượt trong cân đối ngân sách năm 2021</t>
  </si>
  <si>
    <t>Thu vượt tiền sử dụng đất năm 2021</t>
  </si>
  <si>
    <t xml:space="preserve">Thu hồi tạm ứng ngân sách tỉnh </t>
  </si>
  <si>
    <t>Thu vượt XSKT năm 2021</t>
  </si>
  <si>
    <t>Thu vượt trong cân đối 2022</t>
  </si>
  <si>
    <t>Thu vượt XSKT 2022</t>
  </si>
  <si>
    <t>Thu vượt tiền sử dụng đất năm 2022</t>
  </si>
  <si>
    <t>Nguồn vốn XSKT 2023</t>
  </si>
  <si>
    <t>Nguồn thu tiền sử dụng đất 2023</t>
  </si>
  <si>
    <t>Thu hồi các khoản ứng trước NSĐP</t>
  </si>
  <si>
    <t>Thanh toán nợ XDCB</t>
  </si>
  <si>
    <t>CT MTQG phát triển kinh tế - xã hội vùng đồng bào dân tộc thiểu số và miền núi</t>
  </si>
  <si>
    <t>CT MTQG giảm nghèo bền vững</t>
  </si>
  <si>
    <t>CT MTQG xây dựng nông thôn mới</t>
  </si>
  <si>
    <t>Dự án dự kiến hoàn thành năm 2024</t>
  </si>
  <si>
    <t>Khu tái định cư tại thị trấn Cây Dương</t>
  </si>
  <si>
    <t>Thị trấn Cây Dương</t>
  </si>
  <si>
    <t>Diện tích đất 34.453 m2, diện tích khoảng 200 nền</t>
  </si>
  <si>
    <t>1755/QĐ-UBND, 14/9/2021</t>
  </si>
  <si>
    <t>Xã hội</t>
  </si>
  <si>
    <t xml:space="preserve">Trụ sở làm việc phòng nông nghiệp phát triển nông thôn và các trạm </t>
  </si>
  <si>
    <t>Diện tích đất 1.728m2, diện tích xây dựng 550m2</t>
  </si>
  <si>
    <t xml:space="preserve"> 1194/QĐ-UBND, 25/6/2021</t>
  </si>
  <si>
    <t>6439/QĐ-UBND, 
26/8/2020</t>
  </si>
  <si>
    <t>Chưa khởi công</t>
  </si>
  <si>
    <t>Hoạt động của các cơ quan quản lý nhà nước, đơn vị sự nghiệp công lập, tổ chức chính trị và các tổ chức chính trị - xã hội</t>
  </si>
  <si>
    <t>Dự án chuyển tiếp hoàn thành sau năm 2024</t>
  </si>
  <si>
    <t>Xây dựng kết cấu hạ tầng và chế biến sản phẩm cho Hợp tác xã, Kỳ Như</t>
  </si>
  <si>
    <t>676/QĐ-UBND, 24/4/2023</t>
  </si>
  <si>
    <t>2023</t>
  </si>
  <si>
    <t>2025</t>
  </si>
  <si>
    <t>6459/QĐ-UBND ngày 27/6/2023</t>
  </si>
  <si>
    <t>Xây dựng kết cấu hạ tầng và chế biến sản phẩm cho Hợp tác xã Mãng cầu xiêm Hòa Mỹ</t>
  </si>
  <si>
    <t>675/QĐ-UBND, 24/4/2023</t>
  </si>
  <si>
    <t>6460/QĐ-UBND ngày 27/6/2023</t>
  </si>
  <si>
    <t>Xây dựng kết cấu hạ tầng và chế biến sản phẩm cho Liên hiệp hợp tác xã thủy sản Mekong</t>
  </si>
  <si>
    <t>674/QĐ-UBND, 24/4/2023</t>
  </si>
  <si>
    <t>6455/QĐ-UBND ngày 27/6/2023</t>
  </si>
  <si>
    <t>Xây dựng kết cấu hạ tầng và chế biến sản phẩm cho Hợp tác xã nông nghiệp Trung Hiếu Phát</t>
  </si>
  <si>
    <t>673/QĐ-UBND, 24/4/2023</t>
  </si>
  <si>
    <t>6461/QĐ-UBND ngày 27/6/2023</t>
  </si>
  <si>
    <t>Nhà văn hóa ấp Long Phụng A, xã Hiệp Hưng</t>
  </si>
  <si>
    <t xml:space="preserve">663/QĐ-UBND, 24/4/2023 </t>
  </si>
  <si>
    <t>6456/QĐ-UBND ngày 27/6/2023</t>
  </si>
  <si>
    <t>Nhà văn hóa - Khu thể thao ấp Quyết Thắng, xã Hiệp Hưng</t>
  </si>
  <si>
    <t xml:space="preserve">664/QĐ-UBND, 24/4/2023 </t>
  </si>
  <si>
    <t>6457/QĐ-UBND ngày 27/6/2023</t>
  </si>
  <si>
    <t>Tuyến đường từ TT xã Thạnh Hòa đến Cầu Tư Sang, giáp Tỉnh lộ 928</t>
  </si>
  <si>
    <t>651/QĐ-UBND, 24/4/2023</t>
  </si>
  <si>
    <t>6458/QĐ-UBND ngày 27/6/2023</t>
  </si>
  <si>
    <t>Giao thông</t>
  </si>
  <si>
    <t>Phụ lục số II</t>
  </si>
  <si>
    <t>DANH MỤC KẾ HOẠCH ĐẦU TƯ VỐN NGÂN SÁCH TRUNG ƯƠNG (VỐN TRONG NƯỚC) NĂM 2024</t>
  </si>
  <si>
    <t>Thời gian khởi công hoàn thành</t>
  </si>
  <si>
    <t>Kế hoạch vốn năm 2021</t>
  </si>
  <si>
    <t>Kế hoạch 5 năm giai đoạn 2021 - 2025 được giao</t>
  </si>
  <si>
    <t>Số vốn kéo dài năm 2021 sang năm 2022</t>
  </si>
  <si>
    <t>Giải ngân năm 2022</t>
  </si>
  <si>
    <t>Kế hoạch vốn 2022 còn lại</t>
  </si>
  <si>
    <t>Năm 2023</t>
  </si>
  <si>
    <t>Nhu cầu năm 2024</t>
  </si>
  <si>
    <t>Kế hoạch</t>
  </si>
  <si>
    <t>Ước giải ngân từ 01/01/2023 đến 31/12/2023</t>
  </si>
  <si>
    <t xml:space="preserve">Trong đó: vốn NSTW </t>
  </si>
  <si>
    <t>Trong đó: vốn NSTW</t>
  </si>
  <si>
    <t xml:space="preserve">Trong đó: Ngân sách Trung ương </t>
  </si>
  <si>
    <t xml:space="preserve"> Ngân sách Trung ương </t>
  </si>
  <si>
    <t xml:space="preserve">Thu hồi các khoản ứng trước </t>
  </si>
  <si>
    <r>
      <t>Thanh toán nợ XDCB</t>
    </r>
    <r>
      <rPr>
        <b/>
        <i/>
        <vertAlign val="superscript"/>
        <sz val="12"/>
        <rFont val="Times New Roman"/>
        <family val="1"/>
      </rPr>
      <t>(1)</t>
    </r>
  </si>
  <si>
    <t>Dự án nhóm B</t>
  </si>
  <si>
    <t>Nâng cấp mở rộng đường tỉnh 927 (đoạn từ xã Phương Bình đến thị trấn Cây Dương)</t>
  </si>
  <si>
    <t>H Phụng Hiệp</t>
  </si>
  <si>
    <t>2021-2024</t>
  </si>
  <si>
    <t>1896/QĐ-UBND, 29/10/2019; 2329/QĐ-UBND, 04/12/2020</t>
  </si>
  <si>
    <t>Phụ lục số III</t>
  </si>
  <si>
    <t>DANH MỤC KẾ HOẠCH VỐN NGÂN SÁCH TRUNG ƯƠNG THỰC HIỆN 
CHƯƠNG TRÌNH MỤC TIÊU QUỐC GIA XÂY DỰNG NÔNG THÔN MỚI NĂM 2024</t>
  </si>
  <si>
    <t>Stt</t>
  </si>
  <si>
    <t>Kế hoạch vốn NSTW giai đoạn 2021 - 2025</t>
  </si>
  <si>
    <t>Kế hoạch vốn NSTW giai đoạn 2021 - 2025 (điều chỉnh nội bộ lần 4)</t>
  </si>
  <si>
    <t>Kế hoạch vốn NSTW giai đoạn 2021 - 2025 (bổ sung lần 4)</t>
  </si>
  <si>
    <t>Tổng kế hoạch 2021-2025</t>
  </si>
  <si>
    <t>Kế hoạch vốn NSTW năm 2024</t>
  </si>
  <si>
    <t>Tổng số các nguồn vốn</t>
  </si>
  <si>
    <t>XÃ ĐẠT CHUẨN NÔNG THÔN MỚI</t>
  </si>
  <si>
    <t xml:space="preserve">Xã Hiệp Hưng </t>
  </si>
  <si>
    <t>Tiêu chí về giao thông (Tiêu chí số 2)</t>
  </si>
  <si>
    <t>Tuyến đường Sậy Niếu, ấp Lái Hiếu, xã Hiệp Hưng</t>
  </si>
  <si>
    <t>2023-2025</t>
  </si>
  <si>
    <t>Tiêu chí về Giáo dục (tiêu chí số 5)</t>
  </si>
  <si>
    <t>Trường tiểu học Hiệp Hưng 1</t>
  </si>
  <si>
    <t>2022-2024</t>
  </si>
  <si>
    <t>Tiêu chí về Cơ sở vật chất văn hóa (tiêu chí số 6)</t>
  </si>
  <si>
    <t>Trung tâm văn hóa - thể thao xã Hiệp Hưng</t>
  </si>
  <si>
    <t>XÃ ĐẠT CHUẨN NÔNG THÔN MỚI NÂNG CAO</t>
  </si>
  <si>
    <t>Xã Phương Phú</t>
  </si>
  <si>
    <t>Xã Thạnh Hòa</t>
  </si>
  <si>
    <t>Trường Mẫu giáo Thạnh Hòa</t>
  </si>
  <si>
    <t>2024-2025</t>
  </si>
  <si>
    <t>Tiêu chí về Cơ sở vật chất văn hóa (Tiêu chí số 6)</t>
  </si>
  <si>
    <t>Nhà văn hóa ấp Nhất A</t>
  </si>
  <si>
    <t>Nhà văn hóa ấp Tầm Vu 3</t>
  </si>
  <si>
    <t>DỰ TOÁN THU, CHI NGÂN SÁCH ĐỊA PHƯƠNG VÀ BỔ SUNG CÂN ĐỐI TỪ NGÂN SÁCH CẤP TRÊN CHO NGÂN SÁCH CẤP DƯỚI NĂM 2025</t>
  </si>
  <si>
    <t>Dự toán
năm 2025</t>
  </si>
  <si>
    <t>DỰ TOÁN THU NGÂN SÁCH NHÀ NƯỚC TRÊN ĐỊA BÀN TỪNG ĐƠN VỊ XÃ, THỊ TRẤN THEO LĨNH VỰC NĂM 2025</t>
  </si>
  <si>
    <t>DỰ TOÁN CHI THƯỜNG XUYÊN NĂM 2025</t>
  </si>
  <si>
    <t>DỰ TOÁN NĂM 2025</t>
  </si>
  <si>
    <t>Biên chế được cấp có thẩm quyền giao hoặc phê duyệt năm 2024</t>
  </si>
  <si>
    <t>Biên chế hưởng lương có mặt đến 01/11/2024</t>
  </si>
  <si>
    <t>Chính sách hỗ trợ và phát triển đất trồng lúa theo Nghị định số 112/2024/NĐ-CP ngày 11/9/2024 của Chính phủ</t>
  </si>
  <si>
    <t xml:space="preserve"> - Lương cơ sở 2.340.000 đồng. </t>
  </si>
  <si>
    <t>DỰ TOÁN CHI THƯỜNG XUYÊN NĂM 2025, KHỐI SỰ NGHIỆP GIÁO DỤC</t>
  </si>
  <si>
    <t>Biên 
chế</t>
  </si>
  <si>
    <t>KP hỗ trợ Tết</t>
  </si>
  <si>
    <t>5=6+12+13</t>
  </si>
  <si>
    <t>13=11-12</t>
  </si>
  <si>
    <t>Chi các hoạt động phát sinh các trường</t>
  </si>
  <si>
    <t>- Phụ cấp kiêm nhiện CNTT</t>
  </si>
  <si>
    <t xml:space="preserve">- </t>
  </si>
  <si>
    <t>DỰ TOÁN CHI NGÂN SÁCH XÃ, THỊ TRẤN NĂM 2025</t>
  </si>
  <si>
    <t>Không chuyên trách ấp (BHYT 3%) và Các chi hội ấp</t>
  </si>
  <si>
    <t>Phụ cấp đại biểu HĐND và phụ cấp kiêm nhiệm Chủ tịch HĐND xã</t>
  </si>
  <si>
    <t>Chi hoạt động quản lý HC 650 triệu /xã, tt/năm</t>
  </si>
  <si>
    <t>Chi hoạt động 100tr/ấp/năm</t>
  </si>
  <si>
    <t>BS thêm đơn vị Cấp xã: 4 ấp 30 trđ/ấp; 5 ấp 24 trđ/ấp;
 6 ấp 20 trđ/ấp, 8 ấp 15 trđ/ấp</t>
  </si>
  <si>
    <t>Kinh phí cuộc vận động Toàn dân đoàn kết XD NTM, đô thị VM</t>
  </si>
  <si>
    <t>Kinh phí tiền ăn lực lượng Dân quân tự vệ</t>
  </si>
  <si>
    <t>Kinh phí huấn luyện dân quân tại chỗ (Nghị quyết số 01/2023/NQ-HĐND; Đề án số 01/ĐA-UBND)</t>
  </si>
  <si>
    <t>Kinh phí trật tự cơ sở (Nghị quyết số 07/2024/NQ-HĐND)</t>
  </si>
  <si>
    <t>Kinh phí Đại hội Đảng các cấp nhiệm kỳ 2025-2030</t>
  </si>
  <si>
    <t xml:space="preserve">
Kinh phí trợ cấp tết cán bộ, công chức, người lao động
</t>
  </si>
  <si>
    <t>Kinh phí hỗ trợ đồng phục cho cán bộ, công chức, viên chức làm việc tại bộ phận một cửa</t>
  </si>
  <si>
    <t>Hỗ trợ tổ chuyển đổi số (02 triệu đồng/ấp/năm)</t>
  </si>
  <si>
    <t>Các nhiệm vụ phát sinh khác (HTKP tăng lương, lễ 27/7…)</t>
  </si>
  <si>
    <t xml:space="preserve"> * Lương cơ sở 2.340.000 đồng. </t>
  </si>
  <si>
    <t xml:space="preserve"> * 11 đơn vị loại 1</t>
  </si>
  <si>
    <t xml:space="preserve"> * 4 đơn vị loại 2</t>
  </si>
  <si>
    <t>Kinh phí hợp đồng hoặc thuê mướn nhân sự có chuyên môn phù hợp để hướng dẫn người dân và doanh nghiệp trên địa bàn thực hiện công tác chuyển đổi số (03 triệu đồng/người/tháng)</t>
  </si>
  <si>
    <t xml:space="preserve"> - Hỗ trợ chi phí học tập và miễn giảm học phí theo NĐ 81/2021/NĐ-CP 
và NĐ 97/2023/NĐ-CP</t>
  </si>
  <si>
    <t xml:space="preserve"> - Kinh phí quỹ khen thưởng thực hiện NĐ 73/2024/NĐ-CP ngày 30/6/2024</t>
  </si>
  <si>
    <t xml:space="preserve"> - Kinh phí thực hiện NQ 27/NQ-HĐND ngày 24/7/2023 </t>
  </si>
  <si>
    <t xml:space="preserve"> - Kinh phí thực hiện chế độ trợ cấp xã hội hàng tháng cho các đối tượng bảo trợ xã hội theo quy định Nghị định số 76/2024/NĐ-CP của Chính phủ về chính sách trợ giúp các đối tượng bảo trợ xã hội</t>
  </si>
  <si>
    <t>- Kinh phí ứng dụng công nghệ thông tin và duy trì hoạt động ứng dụng công nghệ thông tin ngành tài chính đã thực hiện</t>
  </si>
  <si>
    <t>KP lương HD theo NQ 27</t>
  </si>
  <si>
    <t xml:space="preserve"> - Hỗ trợ chi phí học tập và miễn giảm học phí theo NĐ 81/2021/NĐ-CP và NĐ 97/2023/NĐ-CP</t>
  </si>
  <si>
    <t xml:space="preserve"> - Kinh phí quỹ khen thưởng
 thực hiện NĐ 73/2024/NĐ-CP ngày 30/6/2024</t>
  </si>
  <si>
    <t>- Hỗ trợ kinh phí đại hội đảng các cấp nhiệm kỳ 2025-2030</t>
  </si>
  <si>
    <t>- Kinh phí sự nghiệp môi trường (đề án Hậu Giang Xanh)</t>
  </si>
  <si>
    <t>- Kinh thực hiện các chế độ an sinh xã hội</t>
  </si>
  <si>
    <t>III. BS kinh phí cải cách tiền lương từ 1,800 lên 2,340 triệu đồng</t>
  </si>
  <si>
    <t xml:space="preserve">- Kinh phí biên chế tăng thêm </t>
  </si>
  <si>
    <t>Bổ sung để thực hiện điều chỉnh lương cơ sở 1.490.000 lên 2.340.000 đồng/tháng</t>
  </si>
  <si>
    <t>BCH Quân sự (KP thực hiện đề án 01)</t>
  </si>
  <si>
    <t>Đảm bảo xã hội (Nghị định 76/2024/NĐ-CP ngày 01/7/24)</t>
  </si>
  <si>
    <t>Kinh phí đảm bảo an ninh trật tự (LL CA, QS,…)</t>
  </si>
  <si>
    <t>- Kinh phí in ấn đặc san xuân 2025</t>
  </si>
  <si>
    <t>CÂN ĐỐI NGUỒN THU, CHI DỰ TOÁN NGÂN SÁCH 
HUYỆN, XÃ, THỊ TRẤN NĂM 2025</t>
  </si>
  <si>
    <t>(Kèm theo Tờ trình số:             /TTr-UBND ngày        /11/2024 của UBND huyện Phụng Hiệp)</t>
  </si>
  <si>
    <r>
      <rPr>
        <b/>
        <i/>
        <sz val="12"/>
        <rFont val="Times New Roman"/>
        <family val="1"/>
      </rPr>
      <t>Ghi chú</t>
    </r>
    <r>
      <rPr>
        <sz val="12"/>
        <rFont val="Times New Roman"/>
        <family val="1"/>
      </rPr>
      <t>: BS ngoài định mức</t>
    </r>
  </si>
  <si>
    <t>6=7+8+
9+10+12</t>
  </si>
  <si>
    <t>- Kinh phí thực hiện theo Nghị quyết số 10/2022/NQ-HĐND</t>
  </si>
  <si>
    <t>Trung tâm Văn hóa - Thể thao và Truyền thanh</t>
  </si>
  <si>
    <t>Phòng Văn hóa và Thông tin</t>
  </si>
  <si>
    <t>Hội Nông dân</t>
  </si>
  <si>
    <t>Hội Người cao tuổi</t>
  </si>
  <si>
    <t>Hội Chữ Thập đỏ</t>
  </si>
  <si>
    <t>Hội Đông y</t>
  </si>
  <si>
    <t>Hoạt động đặc thù Ban Tuyên giáo Huyện uỷ</t>
  </si>
  <si>
    <t>Trường MG Khu căn cứ 
Tỉnh ủy Cần Thơ</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</si>
</sst>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0.00\ _₫_-;\-* #,##0.00\ _₫_-;_-* &quot;-&quot;??\ _₫_-;_-@_-"/>
    <numFmt numFmtId="165" formatCode="_-* #,##0\ _₫_-;\-* #,##0\ _₫_-;_-* &quot;-&quot;??\ _₫_-;_-@_-"/>
    <numFmt numFmtId="166" formatCode="_(* #,##0_);_(* \(#,##0\);_(* &quot;-&quot;??_);_(@_)"/>
    <numFmt numFmtId="167" formatCode="#,##0;[Red]#,##0"/>
    <numFmt numFmtId="168" formatCode="#,##0.0;[Red]#,##0.0"/>
    <numFmt numFmtId="169" formatCode="_-* #,##0\ _s_u_'_m_-;\-* #,##0\ _s_u_'_m_-;_-* &quot;-&quot;??\ _s_u_'_m_-;_-@_-"/>
    <numFmt numFmtId="170" formatCode="_(* #,##0_);_(* \(#,##0\);_(* \-??_);_(@_)"/>
    <numFmt numFmtId="171" formatCode="\$#,##0\ ;\(\$#,##0\)"/>
    <numFmt numFmtId="172" formatCode="_-* #,##0_-;\-* #,##0_-;_-* &quot;-&quot;??_-;_-@_-"/>
    <numFmt numFmtId="173" formatCode="#,##0.000"/>
    <numFmt numFmtId="174" formatCode="[$-F400]h:mm:ss\ AM/PM"/>
    <numFmt numFmtId="175" formatCode="#,##0;\-#,##0;\-"/>
  </numFmts>
  <fonts count="77" x14ac:knownFonts="1">
    <font>
      <sz val="11"/>
      <color theme="1"/>
      <name val="Calibri"/>
      <family val="2"/>
      <charset val="163"/>
      <scheme val="minor"/>
    </font>
    <font>
      <b/>
      <sz val="10"/>
      <name val="Times New Roman"/>
      <family val="1"/>
    </font>
    <font>
      <sz val="11"/>
      <name val="Times New Roman"/>
      <family val="1"/>
    </font>
    <font>
      <b/>
      <sz val="14"/>
      <name val="Times New Roman"/>
      <family val="1"/>
    </font>
    <font>
      <sz val="14"/>
      <name val="Times New Roman"/>
      <family val="1"/>
    </font>
    <font>
      <b/>
      <sz val="11"/>
      <name val="Times New Roman"/>
      <family val="1"/>
    </font>
    <font>
      <i/>
      <sz val="11"/>
      <name val="Times New Roman"/>
      <family val="1"/>
    </font>
    <font>
      <i/>
      <sz val="11"/>
      <color indexed="63"/>
      <name val="Times New Roman"/>
      <family val="1"/>
    </font>
    <font>
      <sz val="11"/>
      <color indexed="63"/>
      <name val="Times New Roman"/>
      <family val="1"/>
    </font>
    <font>
      <b/>
      <i/>
      <sz val="11"/>
      <name val="Times New Roman"/>
      <family val="1"/>
    </font>
    <font>
      <i/>
      <sz val="12"/>
      <color indexed="8"/>
      <name val="Times New Roman"/>
      <family val="1"/>
    </font>
    <font>
      <sz val="12"/>
      <color indexed="8"/>
      <name val="Times New Roman"/>
      <family val="1"/>
    </font>
    <font>
      <b/>
      <sz val="12"/>
      <name val="Times New Roman"/>
      <family val="1"/>
    </font>
    <font>
      <i/>
      <sz val="12"/>
      <name val="Times New Roman"/>
      <family val="1"/>
    </font>
    <font>
      <sz val="12"/>
      <name val="Times New Roman"/>
      <family val="1"/>
    </font>
    <font>
      <b/>
      <i/>
      <sz val="12"/>
      <name val="Times New Roman"/>
      <family val="1"/>
    </font>
    <font>
      <sz val="10"/>
      <name val="Arial"/>
      <family val="2"/>
    </font>
    <font>
      <sz val="11"/>
      <color indexed="8"/>
      <name val="Calibri"/>
      <family val="2"/>
    </font>
    <font>
      <sz val="13"/>
      <name val="VNI-Times"/>
    </font>
    <font>
      <b/>
      <sz val="9"/>
      <color indexed="81"/>
      <name val="Tahoma"/>
      <family val="2"/>
    </font>
    <font>
      <sz val="9"/>
      <color indexed="81"/>
      <name val="Tahoma"/>
      <family val="2"/>
    </font>
    <font>
      <b/>
      <sz val="13"/>
      <color indexed="8"/>
      <name val="Times New Roman"/>
      <family val="1"/>
    </font>
    <font>
      <i/>
      <sz val="10"/>
      <name val="Times New Roman"/>
      <family val="1"/>
    </font>
    <font>
      <sz val="13"/>
      <color indexed="8"/>
      <name val="Times New Roman"/>
      <family val="1"/>
    </font>
    <font>
      <b/>
      <sz val="13"/>
      <color indexed="8"/>
      <name val="Times New Roman"/>
      <family val="1"/>
    </font>
    <font>
      <i/>
      <sz val="13"/>
      <color indexed="8"/>
      <name val="Times New Roman"/>
      <family val="1"/>
    </font>
    <font>
      <sz val="13"/>
      <name val="Times New Roman"/>
      <family val="1"/>
    </font>
    <font>
      <b/>
      <sz val="13"/>
      <name val="Times New Roman"/>
      <family val="1"/>
    </font>
    <font>
      <sz val="12"/>
      <color indexed="8"/>
      <name val="Times New Roman"/>
      <family val="1"/>
    </font>
    <font>
      <b/>
      <i/>
      <u/>
      <sz val="11"/>
      <name val="Times New Roman"/>
      <family val="1"/>
    </font>
    <font>
      <u/>
      <sz val="11"/>
      <name val="Times New Roman"/>
      <family val="1"/>
    </font>
    <font>
      <b/>
      <u/>
      <sz val="12"/>
      <name val="Times New Roman"/>
      <family val="1"/>
    </font>
    <font>
      <b/>
      <sz val="16"/>
      <name val="Times New Roman"/>
      <family val="1"/>
    </font>
    <font>
      <b/>
      <i/>
      <vertAlign val="superscript"/>
      <sz val="12"/>
      <name val="Times New Roman"/>
      <family val="1"/>
    </font>
    <font>
      <i/>
      <sz val="14"/>
      <name val="Times New Roman"/>
      <family val="1"/>
    </font>
    <font>
      <b/>
      <i/>
      <sz val="14"/>
      <name val="Times New Roman"/>
      <family val="1"/>
    </font>
    <font>
      <i/>
      <sz val="13"/>
      <name val="Times New Roman"/>
      <family val="1"/>
    </font>
    <font>
      <sz val="11"/>
      <color theme="1"/>
      <name val="Calibri"/>
      <family val="2"/>
      <charset val="163"/>
      <scheme val="minor"/>
    </font>
    <font>
      <u/>
      <sz val="11"/>
      <color theme="10"/>
      <name val="Calibri"/>
      <family val="2"/>
      <charset val="163"/>
      <scheme val="minor"/>
    </font>
    <font>
      <sz val="11"/>
      <color theme="1"/>
      <name val="Calibri"/>
      <family val="2"/>
      <scheme val="minor"/>
    </font>
    <font>
      <sz val="11"/>
      <color rgb="FF000000"/>
      <name val="Calibri"/>
      <family val="2"/>
      <scheme val="minor"/>
    </font>
    <font>
      <sz val="11"/>
      <color rgb="FF000000"/>
      <name val="Arial"/>
      <family val="2"/>
    </font>
    <font>
      <sz val="12"/>
      <color theme="1"/>
      <name val="Calibri"/>
      <family val="2"/>
      <scheme val="minor"/>
    </font>
    <font>
      <sz val="11"/>
      <color theme="1"/>
      <name val="Times New Roman"/>
      <family val="1"/>
    </font>
    <font>
      <b/>
      <sz val="11"/>
      <color rgb="FF333333"/>
      <name val="Times New Roman"/>
      <family val="1"/>
    </font>
    <font>
      <sz val="11"/>
      <color rgb="FF333333"/>
      <name val="Times New Roman"/>
      <family val="1"/>
    </font>
    <font>
      <i/>
      <sz val="11"/>
      <color rgb="FF333333"/>
      <name val="Times New Roman"/>
      <family val="1"/>
    </font>
    <font>
      <b/>
      <i/>
      <sz val="11"/>
      <color rgb="FF333333"/>
      <name val="Times New Roman"/>
      <family val="1"/>
    </font>
    <font>
      <b/>
      <sz val="12"/>
      <color rgb="FF000000"/>
      <name val="Times New Roman"/>
      <family val="1"/>
    </font>
    <font>
      <i/>
      <sz val="12"/>
      <color rgb="FF000000"/>
      <name val="Times New Roman"/>
      <family val="1"/>
    </font>
    <font>
      <b/>
      <i/>
      <sz val="12"/>
      <color rgb="FF000000"/>
      <name val="Times New Roman"/>
      <family val="1"/>
    </font>
    <font>
      <sz val="12"/>
      <color rgb="FF000000"/>
      <name val="Times New Roman"/>
      <family val="1"/>
    </font>
    <font>
      <sz val="10"/>
      <color rgb="FF000000"/>
      <name val="Times New Roman"/>
      <family val="1"/>
    </font>
    <font>
      <sz val="10"/>
      <color theme="1"/>
      <name val="Calibri"/>
      <family val="2"/>
      <charset val="163"/>
      <scheme val="minor"/>
    </font>
    <font>
      <u/>
      <sz val="12"/>
      <color theme="10"/>
      <name val="Times New Roman"/>
      <family val="1"/>
    </font>
    <font>
      <sz val="12"/>
      <color theme="1"/>
      <name val="Times New Roman"/>
      <family val="1"/>
    </font>
    <font>
      <b/>
      <sz val="11"/>
      <color theme="1"/>
      <name val="Calibri"/>
      <family val="2"/>
      <charset val="163"/>
      <scheme val="minor"/>
    </font>
    <font>
      <sz val="12"/>
      <color theme="1"/>
      <name val="Calibri"/>
      <family val="2"/>
      <charset val="163"/>
      <scheme val="minor"/>
    </font>
    <font>
      <i/>
      <sz val="11"/>
      <color theme="1"/>
      <name val="Calibri"/>
      <family val="2"/>
      <charset val="163"/>
      <scheme val="minor"/>
    </font>
    <font>
      <b/>
      <sz val="11"/>
      <color theme="1"/>
      <name val="Times New Roman"/>
      <family val="1"/>
    </font>
    <font>
      <b/>
      <sz val="12"/>
      <color theme="1"/>
      <name val="Times New Roman"/>
      <family val="1"/>
    </font>
    <font>
      <sz val="13"/>
      <color theme="1"/>
      <name val="Times New Roman"/>
      <family val="1"/>
    </font>
    <font>
      <i/>
      <sz val="11"/>
      <color rgb="FFFF0000"/>
      <name val="Times New Roman"/>
      <family val="1"/>
    </font>
    <font>
      <b/>
      <sz val="13"/>
      <color theme="1"/>
      <name val="Times New Roman"/>
      <family val="1"/>
    </font>
    <font>
      <i/>
      <sz val="13"/>
      <color rgb="FFFF0000"/>
      <name val="Times New Roman"/>
      <family val="1"/>
    </font>
    <font>
      <sz val="12"/>
      <name val="Calibri"/>
      <family val="2"/>
      <scheme val="minor"/>
    </font>
    <font>
      <sz val="14"/>
      <color rgb="FFFF0000"/>
      <name val="Times New Roman"/>
      <family val="1"/>
    </font>
    <font>
      <sz val="13"/>
      <color rgb="FFFF0000"/>
      <name val="Times New Roman"/>
      <family val="1"/>
    </font>
    <font>
      <b/>
      <sz val="11"/>
      <color rgb="FF0D68B1"/>
      <name val="Times New Roman"/>
      <family val="1"/>
    </font>
    <font>
      <b/>
      <sz val="14"/>
      <color rgb="FF0D68B1"/>
      <name val="Times New Roman"/>
      <family val="1"/>
    </font>
    <font>
      <b/>
      <sz val="14"/>
      <color rgb="FF000000"/>
      <name val="Times New Roman"/>
      <family val="1"/>
    </font>
    <font>
      <i/>
      <sz val="11"/>
      <color rgb="FF000000"/>
      <name val="Times New Roman"/>
      <family val="1"/>
    </font>
    <font>
      <i/>
      <sz val="11"/>
      <color theme="1"/>
      <name val="Times New Roman"/>
      <family val="1"/>
    </font>
    <font>
      <i/>
      <sz val="9"/>
      <name val="Times New Roman"/>
      <family val="1"/>
    </font>
    <font>
      <sz val="10"/>
      <name val="Times New Roman"/>
      <family val="1"/>
    </font>
    <font>
      <sz val="12"/>
      <name val="Calibri"/>
      <family val="2"/>
      <charset val="163"/>
      <scheme val="minor"/>
    </font>
    <font>
      <b/>
      <i/>
      <sz val="11"/>
      <name val="Calibri"/>
      <family val="2"/>
      <charset val="163"/>
      <scheme val="minor"/>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4">
    <xf numFmtId="0" fontId="0" fillId="0" borderId="0"/>
    <xf numFmtId="164" fontId="3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164" fontId="17" fillId="0" borderId="0" applyFont="0" applyFill="0" applyBorder="0" applyAlignment="0" applyProtection="0"/>
    <xf numFmtId="43" fontId="16" fillId="0" borderId="0" applyFont="0" applyFill="0" applyBorder="0" applyAlignment="0" applyProtection="0"/>
    <xf numFmtId="169" fontId="14" fillId="0" borderId="0" applyFont="0" applyFill="0" applyBorder="0" applyAlignment="0" applyProtection="0"/>
    <xf numFmtId="17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43" fontId="40" fillId="0" borderId="0" applyFont="0" applyFill="0" applyBorder="0" applyAlignment="0" applyProtection="0"/>
    <xf numFmtId="43" fontId="42" fillId="0" borderId="0" applyFont="0" applyFill="0" applyBorder="0" applyAlignment="0" applyProtection="0"/>
    <xf numFmtId="0" fontId="38" fillId="0" borderId="0" applyNumberFormat="0" applyFill="0" applyBorder="0" applyAlignment="0" applyProtection="0"/>
    <xf numFmtId="0" fontId="39" fillId="0" borderId="0"/>
    <xf numFmtId="0" fontId="40" fillId="0" borderId="0" applyAlignment="0"/>
    <xf numFmtId="0" fontId="16" fillId="0" borderId="0"/>
    <xf numFmtId="0" fontId="40" fillId="0" borderId="0" applyAlignment="0"/>
    <xf numFmtId="0" fontId="42" fillId="0" borderId="0"/>
    <xf numFmtId="0" fontId="39" fillId="0" borderId="0"/>
    <xf numFmtId="0" fontId="17" fillId="0" borderId="0"/>
    <xf numFmtId="0" fontId="16" fillId="0" borderId="0" applyAlignment="0"/>
    <xf numFmtId="0" fontId="41" fillId="0" borderId="0" applyAlignment="0"/>
    <xf numFmtId="0" fontId="42" fillId="0" borderId="0"/>
    <xf numFmtId="0" fontId="39" fillId="0" borderId="0"/>
    <xf numFmtId="0" fontId="32" fillId="0" borderId="0"/>
    <xf numFmtId="0" fontId="16" fillId="0" borderId="0"/>
    <xf numFmtId="0" fontId="14" fillId="0" borderId="0"/>
    <xf numFmtId="0" fontId="18" fillId="0" borderId="0"/>
  </cellStyleXfs>
  <cellXfs count="716">
    <xf numFmtId="0" fontId="0" fillId="0" borderId="0" xfId="0"/>
    <xf numFmtId="0" fontId="2" fillId="0" borderId="0" xfId="0" applyFont="1" applyAlignment="1">
      <alignment vertical="center"/>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6" fillId="0" borderId="0" xfId="0" applyFont="1" applyAlignment="1">
      <alignment vertical="center"/>
    </xf>
    <xf numFmtId="0" fontId="43" fillId="0" borderId="0" xfId="0" applyFont="1" applyAlignment="1">
      <alignment vertical="center"/>
    </xf>
    <xf numFmtId="0" fontId="44" fillId="3" borderId="1" xfId="0" applyFont="1" applyFill="1" applyBorder="1" applyAlignment="1">
      <alignment horizontal="center" vertical="center" wrapText="1"/>
    </xf>
    <xf numFmtId="0" fontId="44" fillId="3" borderId="1" xfId="0" applyFont="1" applyFill="1" applyBorder="1" applyAlignment="1">
      <alignment vertical="center" wrapText="1"/>
    </xf>
    <xf numFmtId="0" fontId="45" fillId="3" borderId="1" xfId="0" applyFont="1" applyFill="1" applyBorder="1" applyAlignment="1">
      <alignment horizontal="center" vertical="center" wrapText="1"/>
    </xf>
    <xf numFmtId="0" fontId="46" fillId="3" borderId="1" xfId="0" applyFont="1" applyFill="1" applyBorder="1" applyAlignment="1">
      <alignment vertical="center" wrapText="1"/>
    </xf>
    <xf numFmtId="0" fontId="45" fillId="3" borderId="1" xfId="0" applyFont="1" applyFill="1" applyBorder="1" applyAlignment="1">
      <alignment vertical="center" wrapText="1"/>
    </xf>
    <xf numFmtId="0" fontId="46" fillId="0" borderId="0" xfId="0" applyFont="1" applyAlignment="1">
      <alignment vertical="center"/>
    </xf>
    <xf numFmtId="0" fontId="5" fillId="3" borderId="1" xfId="0" applyFont="1" applyFill="1" applyBorder="1" applyAlignment="1">
      <alignment vertical="center" wrapText="1"/>
    </xf>
    <xf numFmtId="0" fontId="9" fillId="0" borderId="0" xfId="0" applyFont="1" applyAlignment="1">
      <alignment vertical="center"/>
    </xf>
    <xf numFmtId="0" fontId="2" fillId="0" borderId="0" xfId="0" applyFont="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0" fontId="9" fillId="0" borderId="0" xfId="0" applyFont="1"/>
    <xf numFmtId="0" fontId="6" fillId="3" borderId="1" xfId="0" applyFont="1" applyFill="1" applyBorder="1" applyAlignment="1">
      <alignment horizontal="center" vertical="center" wrapText="1"/>
    </xf>
    <xf numFmtId="0" fontId="47" fillId="0" borderId="0" xfId="0" applyFont="1" applyAlignment="1">
      <alignment vertical="center"/>
    </xf>
    <xf numFmtId="0" fontId="43" fillId="0" borderId="0" xfId="0" applyFont="1" applyAlignment="1">
      <alignment vertical="center" wrapText="1"/>
    </xf>
    <xf numFmtId="0" fontId="48" fillId="0" borderId="0" xfId="0" applyFont="1" applyAlignment="1">
      <alignment horizontal="right" vertical="center"/>
    </xf>
    <xf numFmtId="0" fontId="49" fillId="0" borderId="0" xfId="0" applyFont="1" applyAlignment="1">
      <alignment horizontal="right" vertical="center"/>
    </xf>
    <xf numFmtId="0" fontId="50" fillId="0" borderId="0" xfId="0" applyFont="1" applyAlignment="1">
      <alignment horizontal="left" vertical="center"/>
    </xf>
    <xf numFmtId="0" fontId="51"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vertical="center" wrapText="1"/>
    </xf>
    <xf numFmtId="0" fontId="51" fillId="0" borderId="1" xfId="0" applyFont="1" applyBorder="1" applyAlignment="1">
      <alignment vertical="center" wrapText="1"/>
    </xf>
    <xf numFmtId="0" fontId="49" fillId="0" borderId="1" xfId="0" applyFont="1" applyBorder="1" applyAlignment="1">
      <alignment vertical="center" wrapText="1"/>
    </xf>
    <xf numFmtId="0" fontId="49" fillId="0" borderId="0" xfId="0" applyFont="1" applyAlignment="1">
      <alignment horizontal="left" vertical="center"/>
    </xf>
    <xf numFmtId="0" fontId="50" fillId="0" borderId="0" xfId="0" applyFont="1" applyAlignment="1">
      <alignment vertical="center"/>
    </xf>
    <xf numFmtId="0" fontId="51" fillId="0" borderId="0" xfId="0" applyFont="1" applyAlignment="1">
      <alignment vertical="center"/>
    </xf>
    <xf numFmtId="0" fontId="0" fillId="0" borderId="0" xfId="0" applyAlignment="1">
      <alignment wrapText="1"/>
    </xf>
    <xf numFmtId="0" fontId="0" fillId="0" borderId="1" xfId="0" applyBorder="1" applyAlignment="1">
      <alignment vertical="top" wrapText="1"/>
    </xf>
    <xf numFmtId="0" fontId="52" fillId="0" borderId="1" xfId="0" applyFont="1" applyBorder="1" applyAlignment="1">
      <alignment horizontal="center" vertical="center" wrapText="1"/>
    </xf>
    <xf numFmtId="0" fontId="53" fillId="0" borderId="0" xfId="0" applyFont="1"/>
    <xf numFmtId="0" fontId="0" fillId="0" borderId="0" xfId="0" applyAlignment="1">
      <alignment horizontal="left"/>
    </xf>
    <xf numFmtId="0" fontId="51" fillId="0" borderId="1" xfId="0" applyFont="1" applyBorder="1" applyAlignment="1">
      <alignment vertical="center"/>
    </xf>
    <xf numFmtId="0" fontId="13" fillId="0" borderId="0" xfId="0" applyFont="1" applyAlignment="1">
      <alignment horizontal="righ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horizontal="right" vertical="center"/>
    </xf>
    <xf numFmtId="0" fontId="51" fillId="0" borderId="0" xfId="0" applyFont="1" applyAlignment="1">
      <alignment horizontal="justify" vertical="center"/>
    </xf>
    <xf numFmtId="0" fontId="51" fillId="0" borderId="1" xfId="0" applyFont="1" applyBorder="1" applyAlignment="1">
      <alignment horizontal="right" vertical="center" wrapText="1"/>
    </xf>
    <xf numFmtId="0" fontId="48" fillId="4" borderId="1" xfId="0" applyFont="1" applyFill="1" applyBorder="1" applyAlignment="1">
      <alignment vertical="center" wrapText="1"/>
    </xf>
    <xf numFmtId="0" fontId="0" fillId="0" borderId="0" xfId="0" applyAlignment="1">
      <alignment vertical="center"/>
    </xf>
    <xf numFmtId="0" fontId="54" fillId="0" borderId="1" xfId="18" applyFont="1" applyBorder="1" applyAlignment="1">
      <alignment vertical="center" wrapText="1"/>
    </xf>
    <xf numFmtId="0" fontId="55" fillId="0" borderId="0" xfId="0" applyFont="1" applyAlignment="1">
      <alignment vertical="center"/>
    </xf>
    <xf numFmtId="0" fontId="2" fillId="3" borderId="1" xfId="0" applyFont="1" applyFill="1" applyBorder="1" applyAlignment="1">
      <alignment horizontal="right" vertical="center" wrapText="1"/>
    </xf>
    <xf numFmtId="0" fontId="2" fillId="3" borderId="2" xfId="0" applyFont="1" applyFill="1" applyBorder="1" applyAlignment="1">
      <alignment vertical="center" wrapText="1"/>
    </xf>
    <xf numFmtId="0" fontId="5" fillId="3" borderId="1" xfId="0" applyFont="1" applyFill="1" applyBorder="1" applyAlignment="1">
      <alignment horizontal="right" vertical="center" wrapText="1"/>
    </xf>
    <xf numFmtId="0" fontId="0" fillId="0" borderId="0" xfId="0" applyAlignment="1">
      <alignment vertical="center" wrapText="1"/>
    </xf>
    <xf numFmtId="0" fontId="48" fillId="0" borderId="1" xfId="0" applyFont="1" applyBorder="1" applyAlignment="1">
      <alignment horizontal="right" vertical="center" wrapText="1"/>
    </xf>
    <xf numFmtId="0" fontId="56" fillId="0" borderId="0" xfId="0" applyFont="1" applyAlignment="1">
      <alignment vertical="center"/>
    </xf>
    <xf numFmtId="0" fontId="57" fillId="0" borderId="0" xfId="0" applyFont="1"/>
    <xf numFmtId="0" fontId="14" fillId="0" borderId="1" xfId="0" applyFont="1" applyBorder="1"/>
    <xf numFmtId="0" fontId="48" fillId="0" borderId="3" xfId="0" applyFont="1" applyBorder="1" applyAlignment="1">
      <alignment horizontal="center" vertical="center" wrapText="1"/>
    </xf>
    <xf numFmtId="0" fontId="58" fillId="0" borderId="0" xfId="0" applyFont="1"/>
    <xf numFmtId="165" fontId="51" fillId="0" borderId="1" xfId="1" applyNumberFormat="1" applyFont="1" applyBorder="1" applyAlignment="1">
      <alignment horizontal="center" vertical="center" wrapText="1"/>
    </xf>
    <xf numFmtId="165" fontId="48" fillId="0" borderId="1" xfId="1" applyNumberFormat="1" applyFont="1" applyBorder="1" applyAlignment="1">
      <alignment horizontal="center" vertical="center" wrapText="1"/>
    </xf>
    <xf numFmtId="165" fontId="0" fillId="0" borderId="0" xfId="0" applyNumberFormat="1"/>
    <xf numFmtId="166" fontId="5" fillId="3" borderId="1" xfId="1" applyNumberFormat="1" applyFont="1" applyFill="1" applyBorder="1" applyAlignment="1">
      <alignment horizontal="center" vertical="center" wrapText="1"/>
    </xf>
    <xf numFmtId="43" fontId="5" fillId="3" borderId="1" xfId="1" applyNumberFormat="1" applyFont="1" applyFill="1" applyBorder="1" applyAlignment="1">
      <alignment horizontal="center" vertical="center" wrapText="1"/>
    </xf>
    <xf numFmtId="0" fontId="5" fillId="0" borderId="0" xfId="0" applyFont="1" applyAlignment="1">
      <alignment vertical="center"/>
    </xf>
    <xf numFmtId="166" fontId="5" fillId="0" borderId="0" xfId="0" applyNumberFormat="1" applyFont="1" applyAlignment="1">
      <alignment vertical="center"/>
    </xf>
    <xf numFmtId="166" fontId="5" fillId="3" borderId="1" xfId="1" applyNumberFormat="1" applyFont="1" applyFill="1" applyBorder="1" applyAlignment="1">
      <alignment vertical="center" wrapText="1"/>
    </xf>
    <xf numFmtId="43" fontId="5" fillId="3" borderId="1" xfId="1" applyNumberFormat="1" applyFont="1" applyFill="1" applyBorder="1" applyAlignment="1">
      <alignment vertical="center" wrapText="1"/>
    </xf>
    <xf numFmtId="166" fontId="2" fillId="3" borderId="1" xfId="1" applyNumberFormat="1" applyFont="1" applyFill="1" applyBorder="1" applyAlignment="1">
      <alignment vertical="center" wrapText="1"/>
    </xf>
    <xf numFmtId="43" fontId="2" fillId="3" borderId="1" xfId="1" applyNumberFormat="1" applyFont="1" applyFill="1" applyBorder="1" applyAlignment="1">
      <alignment vertical="center" wrapText="1"/>
    </xf>
    <xf numFmtId="166" fontId="6" fillId="3" borderId="1" xfId="1" applyNumberFormat="1" applyFont="1" applyFill="1" applyBorder="1" applyAlignment="1">
      <alignment vertical="center" wrapText="1"/>
    </xf>
    <xf numFmtId="43" fontId="6" fillId="3" borderId="1" xfId="1" applyNumberFormat="1" applyFont="1" applyFill="1" applyBorder="1" applyAlignment="1">
      <alignment vertical="center" wrapText="1"/>
    </xf>
    <xf numFmtId="166" fontId="5" fillId="3" borderId="1" xfId="0" applyNumberFormat="1" applyFont="1" applyFill="1" applyBorder="1" applyAlignment="1">
      <alignment vertical="center" wrapText="1"/>
    </xf>
    <xf numFmtId="166" fontId="2" fillId="3" borderId="1" xfId="0" applyNumberFormat="1" applyFont="1" applyFill="1" applyBorder="1" applyAlignment="1">
      <alignment vertical="center" wrapText="1"/>
    </xf>
    <xf numFmtId="166" fontId="2" fillId="0" borderId="0" xfId="0" applyNumberFormat="1" applyFont="1" applyAlignment="1">
      <alignment vertical="center"/>
    </xf>
    <xf numFmtId="166" fontId="5" fillId="3" borderId="1" xfId="0" applyNumberFormat="1" applyFont="1" applyFill="1" applyBorder="1" applyAlignment="1">
      <alignment horizontal="center" vertical="center" wrapText="1"/>
    </xf>
    <xf numFmtId="166" fontId="2" fillId="0" borderId="1" xfId="1" applyNumberFormat="1" applyFont="1" applyFill="1" applyBorder="1" applyAlignment="1">
      <alignment vertical="center" wrapText="1"/>
    </xf>
    <xf numFmtId="0" fontId="14" fillId="0" borderId="5" xfId="0" applyFont="1" applyBorder="1"/>
    <xf numFmtId="0" fontId="55" fillId="0" borderId="5" xfId="0" applyFont="1" applyBorder="1"/>
    <xf numFmtId="0" fontId="6" fillId="0" borderId="0" xfId="0" applyFont="1" applyAlignment="1">
      <alignment horizontal="center" vertical="center" wrapText="1"/>
    </xf>
    <xf numFmtId="165" fontId="2" fillId="3" borderId="1" xfId="1" applyNumberFormat="1" applyFont="1" applyFill="1" applyBorder="1" applyAlignment="1">
      <alignment horizontal="center" vertical="center" wrapText="1"/>
    </xf>
    <xf numFmtId="165" fontId="2" fillId="3" borderId="1" xfId="1" applyNumberFormat="1" applyFont="1" applyFill="1" applyBorder="1" applyAlignment="1">
      <alignment vertical="center" wrapText="1"/>
    </xf>
    <xf numFmtId="165" fontId="2" fillId="0" borderId="0" xfId="0" applyNumberFormat="1" applyFont="1" applyAlignment="1">
      <alignment vertical="center"/>
    </xf>
    <xf numFmtId="165" fontId="5" fillId="3" borderId="1" xfId="0" applyNumberFormat="1" applyFont="1" applyFill="1" applyBorder="1"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23" fillId="0" borderId="0" xfId="0" applyFont="1" applyAlignment="1">
      <alignment horizontal="center"/>
    </xf>
    <xf numFmtId="0" fontId="23" fillId="0" borderId="0" xfId="0" applyFont="1"/>
    <xf numFmtId="0" fontId="24" fillId="0" borderId="0" xfId="0" applyFont="1"/>
    <xf numFmtId="3" fontId="24" fillId="0" borderId="0" xfId="0" applyNumberFormat="1" applyFont="1"/>
    <xf numFmtId="3" fontId="23" fillId="0" borderId="0" xfId="0" applyNumberFormat="1" applyFont="1"/>
    <xf numFmtId="0" fontId="24" fillId="0" borderId="0" xfId="0" applyFont="1" applyAlignment="1">
      <alignment horizontal="center"/>
    </xf>
    <xf numFmtId="0" fontId="2" fillId="0" borderId="0" xfId="0" applyFont="1"/>
    <xf numFmtId="0" fontId="51" fillId="0" borderId="1" xfId="0" quotePrefix="1" applyFont="1" applyBorder="1" applyAlignment="1">
      <alignment horizontal="center" vertical="center" wrapText="1"/>
    </xf>
    <xf numFmtId="0" fontId="56" fillId="0" borderId="0" xfId="0" applyFont="1"/>
    <xf numFmtId="0" fontId="48" fillId="0" borderId="6" xfId="0" applyFont="1" applyBorder="1" applyAlignment="1">
      <alignment horizontal="center" vertical="center" wrapText="1"/>
    </xf>
    <xf numFmtId="0" fontId="48" fillId="0" borderId="6" xfId="0" applyFont="1" applyBorder="1" applyAlignment="1">
      <alignment vertical="center" wrapText="1"/>
    </xf>
    <xf numFmtId="165" fontId="48" fillId="0" borderId="6" xfId="1" applyNumberFormat="1" applyFont="1" applyBorder="1" applyAlignment="1">
      <alignment horizontal="right" vertical="center" wrapText="1"/>
    </xf>
    <xf numFmtId="0" fontId="48" fillId="0" borderId="5" xfId="0" applyFont="1" applyBorder="1" applyAlignment="1">
      <alignment horizontal="center" vertical="center" wrapText="1"/>
    </xf>
    <xf numFmtId="0" fontId="48" fillId="0" borderId="5" xfId="0" applyFont="1" applyBorder="1" applyAlignment="1">
      <alignment vertical="center" wrapText="1"/>
    </xf>
    <xf numFmtId="165" fontId="48" fillId="0" borderId="5" xfId="1" applyNumberFormat="1" applyFont="1" applyBorder="1" applyAlignment="1">
      <alignment horizontal="right" vertical="center" wrapText="1"/>
    </xf>
    <xf numFmtId="0" fontId="51" fillId="0" borderId="5" xfId="0" quotePrefix="1" applyFont="1" applyBorder="1" applyAlignment="1">
      <alignment horizontal="center" vertical="center" wrapText="1"/>
    </xf>
    <xf numFmtId="0" fontId="51" fillId="0" borderId="5" xfId="0" applyFont="1" applyBorder="1" applyAlignment="1">
      <alignment vertical="center" wrapText="1"/>
    </xf>
    <xf numFmtId="165" fontId="51" fillId="0" borderId="5" xfId="1" applyNumberFormat="1" applyFont="1" applyBorder="1" applyAlignment="1">
      <alignment horizontal="right" vertical="center" wrapText="1"/>
    </xf>
    <xf numFmtId="0" fontId="48" fillId="0" borderId="8" xfId="0" applyFont="1" applyBorder="1" applyAlignment="1">
      <alignment horizontal="center" vertical="center" wrapText="1"/>
    </xf>
    <xf numFmtId="0" fontId="48" fillId="0" borderId="8" xfId="0" applyFont="1" applyBorder="1" applyAlignment="1">
      <alignment vertical="center" wrapText="1"/>
    </xf>
    <xf numFmtId="165" fontId="48" fillId="0" borderId="8" xfId="1" applyNumberFormat="1" applyFont="1" applyBorder="1" applyAlignment="1">
      <alignment horizontal="right" vertical="center" wrapText="1"/>
    </xf>
    <xf numFmtId="0" fontId="14" fillId="0" borderId="1" xfId="0" applyFont="1" applyBorder="1" applyAlignment="1">
      <alignment vertical="center" wrapText="1"/>
    </xf>
    <xf numFmtId="166" fontId="62" fillId="3" borderId="1" xfId="1" applyNumberFormat="1" applyFont="1" applyFill="1" applyBorder="1" applyAlignment="1">
      <alignment vertical="center" wrapText="1"/>
    </xf>
    <xf numFmtId="170" fontId="55" fillId="0" borderId="0" xfId="0" applyNumberFormat="1" applyFont="1"/>
    <xf numFmtId="170" fontId="12" fillId="0" borderId="0" xfId="31" applyNumberFormat="1" applyFont="1" applyAlignment="1">
      <alignment horizontal="center" vertical="center" wrapText="1"/>
    </xf>
    <xf numFmtId="170" fontId="60" fillId="0" borderId="0" xfId="0" applyNumberFormat="1" applyFont="1"/>
    <xf numFmtId="170" fontId="14" fillId="0" borderId="1" xfId="31" quotePrefix="1" applyNumberFormat="1" applyFont="1" applyBorder="1" applyAlignment="1">
      <alignment horizontal="center" vertical="center" wrapText="1"/>
    </xf>
    <xf numFmtId="170" fontId="12" fillId="0" borderId="1" xfId="31" applyNumberFormat="1" applyFont="1" applyBorder="1" applyAlignment="1">
      <alignment horizontal="center" vertical="center" wrapText="1"/>
    </xf>
    <xf numFmtId="170" fontId="12" fillId="0" borderId="1" xfId="2" applyNumberFormat="1" applyFont="1" applyFill="1" applyBorder="1" applyAlignment="1">
      <alignment vertical="center" wrapText="1"/>
    </xf>
    <xf numFmtId="170" fontId="12" fillId="0" borderId="1" xfId="0" applyNumberFormat="1" applyFont="1" applyBorder="1" applyAlignment="1">
      <alignment horizontal="center" vertical="center" wrapText="1"/>
    </xf>
    <xf numFmtId="170" fontId="12" fillId="0" borderId="1" xfId="31" quotePrefix="1" applyNumberFormat="1" applyFont="1" applyBorder="1" applyAlignment="1">
      <alignment horizontal="center" vertical="center" wrapText="1"/>
    </xf>
    <xf numFmtId="170" fontId="12" fillId="0" borderId="1" xfId="31" applyNumberFormat="1" applyFont="1" applyBorder="1" applyAlignment="1">
      <alignment horizontal="right" vertical="center" wrapText="1"/>
    </xf>
    <xf numFmtId="170" fontId="14" fillId="0" borderId="0" xfId="0" applyNumberFormat="1" applyFont="1"/>
    <xf numFmtId="170" fontId="14" fillId="0" borderId="1" xfId="31" applyNumberFormat="1" applyFont="1" applyBorder="1" applyAlignment="1">
      <alignment horizontal="center" vertical="center" wrapText="1"/>
    </xf>
    <xf numFmtId="0" fontId="14" fillId="0" borderId="1" xfId="33" applyFont="1" applyBorder="1" applyAlignment="1">
      <alignment horizontal="center" vertical="center" wrapText="1"/>
    </xf>
    <xf numFmtId="0" fontId="14" fillId="0" borderId="1" xfId="0" applyFont="1" applyBorder="1" applyAlignment="1">
      <alignment horizontal="center" wrapText="1"/>
    </xf>
    <xf numFmtId="1" fontId="14" fillId="0" borderId="1" xfId="31" applyNumberFormat="1" applyFont="1" applyBorder="1" applyAlignment="1">
      <alignment horizontal="center" vertical="center" wrapText="1"/>
    </xf>
    <xf numFmtId="170" fontId="14" fillId="0" borderId="1" xfId="8" applyNumberFormat="1" applyFont="1" applyFill="1" applyBorder="1" applyAlignment="1">
      <alignment horizontal="right" vertical="center" wrapText="1"/>
    </xf>
    <xf numFmtId="170" fontId="14" fillId="0" borderId="1" xfId="8" applyNumberFormat="1" applyFont="1" applyFill="1" applyBorder="1" applyAlignment="1">
      <alignment horizontal="right" vertical="center"/>
    </xf>
    <xf numFmtId="170" fontId="14" fillId="0" borderId="1" xfId="0" applyNumberFormat="1" applyFont="1" applyBorder="1" applyAlignment="1">
      <alignment horizontal="center" vertical="center"/>
    </xf>
    <xf numFmtId="170" fontId="14" fillId="0" borderId="1" xfId="0" applyNumberFormat="1" applyFont="1" applyBorder="1" applyAlignment="1">
      <alignment horizontal="left" vertical="center" wrapText="1"/>
    </xf>
    <xf numFmtId="170" fontId="14" fillId="0" borderId="1" xfId="31" applyNumberFormat="1" applyFont="1" applyBorder="1" applyAlignment="1">
      <alignment vertical="center" wrapText="1"/>
    </xf>
    <xf numFmtId="0" fontId="14" fillId="0" borderId="1" xfId="24" applyFont="1" applyBorder="1" applyAlignment="1">
      <alignment horizontal="center" vertical="center" wrapText="1"/>
    </xf>
    <xf numFmtId="170" fontId="14" fillId="0" borderId="1" xfId="0" applyNumberFormat="1" applyFont="1" applyBorder="1" applyAlignment="1">
      <alignment vertical="center" wrapText="1"/>
    </xf>
    <xf numFmtId="170" fontId="14" fillId="0" borderId="1" xfId="0" applyNumberFormat="1" applyFont="1" applyBorder="1"/>
    <xf numFmtId="170" fontId="12" fillId="0" borderId="0" xfId="0" applyNumberFormat="1" applyFont="1"/>
    <xf numFmtId="170" fontId="14" fillId="0" borderId="1" xfId="0" applyNumberFormat="1" applyFont="1" applyBorder="1" applyAlignment="1">
      <alignment horizontal="center" vertical="center" wrapText="1"/>
    </xf>
    <xf numFmtId="170" fontId="14" fillId="0" borderId="1" xfId="3" applyNumberFormat="1" applyFont="1" applyFill="1" applyBorder="1" applyAlignment="1">
      <alignment horizontal="center" vertical="center"/>
    </xf>
    <xf numFmtId="170" fontId="14" fillId="0" borderId="1" xfId="12" applyNumberFormat="1" applyFont="1" applyFill="1" applyBorder="1" applyAlignment="1">
      <alignment horizontal="center" vertical="center" wrapText="1"/>
    </xf>
    <xf numFmtId="170" fontId="14" fillId="0" borderId="1" xfId="24" applyNumberFormat="1" applyFont="1" applyBorder="1" applyAlignment="1">
      <alignment horizontal="justify" vertical="center" wrapText="1"/>
    </xf>
    <xf numFmtId="170" fontId="14" fillId="0" borderId="1" xfId="25" applyNumberFormat="1" applyFont="1" applyBorder="1" applyAlignment="1">
      <alignment horizontal="left" vertical="center"/>
    </xf>
    <xf numFmtId="170" fontId="14" fillId="0" borderId="9" xfId="24" applyNumberFormat="1" applyFont="1" applyBorder="1" applyAlignment="1">
      <alignment horizontal="center" vertical="center" wrapText="1"/>
    </xf>
    <xf numFmtId="170" fontId="14" fillId="0" borderId="1" xfId="24" applyNumberFormat="1" applyFont="1" applyBorder="1" applyAlignment="1">
      <alignment horizontal="center" vertical="center" wrapText="1"/>
    </xf>
    <xf numFmtId="170" fontId="12" fillId="0" borderId="1" xfId="31" applyNumberFormat="1" applyFont="1" applyBorder="1" applyAlignment="1">
      <alignment vertical="center" wrapText="1"/>
    </xf>
    <xf numFmtId="170" fontId="55" fillId="0" borderId="0" xfId="0" applyNumberFormat="1" applyFont="1" applyAlignment="1">
      <alignment horizontal="center" vertical="center"/>
    </xf>
    <xf numFmtId="170" fontId="55" fillId="0" borderId="0" xfId="0" applyNumberFormat="1" applyFont="1" applyAlignment="1">
      <alignment horizontal="center"/>
    </xf>
    <xf numFmtId="0" fontId="6" fillId="0" borderId="0" xfId="0" applyFont="1" applyAlignment="1">
      <alignment vertical="center" wrapText="1"/>
    </xf>
    <xf numFmtId="164" fontId="2" fillId="3" borderId="1" xfId="1" applyFont="1" applyFill="1" applyBorder="1" applyAlignment="1">
      <alignment horizontal="center" vertical="center" wrapText="1"/>
    </xf>
    <xf numFmtId="165" fontId="43" fillId="0" borderId="0" xfId="0" applyNumberFormat="1" applyFont="1" applyAlignment="1">
      <alignment vertical="center"/>
    </xf>
    <xf numFmtId="0" fontId="2" fillId="0" borderId="0" xfId="0" applyFont="1" applyAlignment="1">
      <alignment horizontal="center"/>
    </xf>
    <xf numFmtId="0" fontId="43" fillId="0" borderId="0" xfId="0" applyFont="1"/>
    <xf numFmtId="3" fontId="2" fillId="0" borderId="0" xfId="0" applyNumberFormat="1" applyFont="1"/>
    <xf numFmtId="0" fontId="13" fillId="0" borderId="0" xfId="0" applyFont="1" applyAlignment="1">
      <alignment vertical="center" wrapText="1"/>
    </xf>
    <xf numFmtId="164" fontId="5" fillId="0" borderId="0" xfId="1" applyFont="1" applyFill="1" applyBorder="1" applyAlignment="1">
      <alignment vertical="center"/>
    </xf>
    <xf numFmtId="164" fontId="2" fillId="0" borderId="0" xfId="1" applyFont="1" applyFill="1"/>
    <xf numFmtId="0" fontId="12" fillId="0" borderId="10" xfId="0" applyFont="1" applyBorder="1" applyAlignment="1">
      <alignment horizontal="center"/>
    </xf>
    <xf numFmtId="0" fontId="31" fillId="0" borderId="11" xfId="0" applyFont="1" applyBorder="1"/>
    <xf numFmtId="3" fontId="12" fillId="0" borderId="6" xfId="0" applyNumberFormat="1" applyFont="1" applyBorder="1"/>
    <xf numFmtId="0" fontId="13" fillId="0" borderId="0" xfId="0" applyFont="1" applyAlignment="1">
      <alignment horizontal="center" vertical="center" wrapText="1"/>
    </xf>
    <xf numFmtId="0" fontId="14" fillId="0" borderId="0" xfId="0" applyFont="1" applyAlignment="1">
      <alignment vertical="center"/>
    </xf>
    <xf numFmtId="0" fontId="14" fillId="0" borderId="12" xfId="0" applyFont="1" applyBorder="1" applyAlignment="1">
      <alignment horizontal="center"/>
    </xf>
    <xf numFmtId="0" fontId="14" fillId="0" borderId="13" xfId="0" applyFont="1" applyBorder="1"/>
    <xf numFmtId="3" fontId="14" fillId="0" borderId="5" xfId="0" applyNumberFormat="1" applyFont="1" applyBorder="1"/>
    <xf numFmtId="0" fontId="14" fillId="0" borderId="14" xfId="0" applyFont="1" applyBorder="1" applyAlignment="1">
      <alignment horizontal="center"/>
    </xf>
    <xf numFmtId="0" fontId="14" fillId="0" borderId="15" xfId="0" applyFont="1" applyBorder="1"/>
    <xf numFmtId="3" fontId="14" fillId="0" borderId="8" xfId="0" applyNumberFormat="1" applyFont="1" applyBorder="1"/>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 xfId="0" quotePrefix="1" applyFont="1" applyBorder="1" applyAlignment="1">
      <alignment horizontal="center" vertical="center"/>
    </xf>
    <xf numFmtId="164" fontId="12" fillId="0" borderId="6" xfId="1" applyFont="1" applyBorder="1"/>
    <xf numFmtId="0" fontId="59" fillId="0" borderId="0" xfId="0" applyFont="1" applyAlignment="1">
      <alignment vertical="center"/>
    </xf>
    <xf numFmtId="0" fontId="64" fillId="0" borderId="0" xfId="0" applyFont="1" applyAlignment="1">
      <alignment vertical="center" wrapText="1"/>
    </xf>
    <xf numFmtId="0" fontId="2" fillId="0" borderId="5" xfId="0" applyFont="1" applyBorder="1" applyAlignment="1">
      <alignment wrapText="1"/>
    </xf>
    <xf numFmtId="169" fontId="2" fillId="0" borderId="0" xfId="1" applyNumberFormat="1" applyFont="1" applyFill="1" applyAlignment="1">
      <alignment horizontal="center"/>
    </xf>
    <xf numFmtId="165" fontId="2" fillId="0" borderId="0" xfId="1" applyNumberFormat="1" applyFont="1" applyFill="1" applyAlignment="1">
      <alignment horizontal="center"/>
    </xf>
    <xf numFmtId="165" fontId="5" fillId="0" borderId="0" xfId="1" applyNumberFormat="1" applyFont="1" applyAlignment="1">
      <alignment vertical="center"/>
    </xf>
    <xf numFmtId="166" fontId="5" fillId="0" borderId="1" xfId="1" applyNumberFormat="1" applyFont="1" applyFill="1" applyBorder="1" applyAlignment="1">
      <alignment vertical="center" wrapText="1"/>
    </xf>
    <xf numFmtId="166" fontId="6" fillId="0" borderId="1" xfId="1" applyNumberFormat="1" applyFont="1" applyFill="1" applyBorder="1" applyAlignment="1">
      <alignment vertical="center" wrapText="1"/>
    </xf>
    <xf numFmtId="166" fontId="5" fillId="0" borderId="1" xfId="1" applyNumberFormat="1" applyFont="1" applyFill="1" applyBorder="1" applyAlignment="1">
      <alignment horizontal="center" vertical="center" wrapText="1"/>
    </xf>
    <xf numFmtId="166" fontId="2" fillId="0" borderId="1" xfId="1" applyNumberFormat="1" applyFont="1" applyFill="1" applyBorder="1" applyAlignment="1">
      <alignment horizontal="center" vertical="center" wrapText="1"/>
    </xf>
    <xf numFmtId="165" fontId="5" fillId="0" borderId="1" xfId="1" applyNumberFormat="1" applyFont="1" applyFill="1" applyBorder="1" applyAlignment="1">
      <alignment vertical="center" wrapText="1"/>
    </xf>
    <xf numFmtId="0" fontId="55" fillId="0" borderId="0" xfId="0" applyFont="1"/>
    <xf numFmtId="0" fontId="59" fillId="0" borderId="3" xfId="0" applyFont="1" applyBorder="1" applyAlignment="1">
      <alignment horizontal="center" wrapText="1"/>
    </xf>
    <xf numFmtId="165" fontId="55" fillId="0" borderId="1" xfId="1" applyNumberFormat="1" applyFont="1" applyBorder="1" applyAlignment="1">
      <alignment vertical="center" wrapText="1"/>
    </xf>
    <xf numFmtId="165" fontId="55" fillId="0" borderId="0" xfId="1" applyNumberFormat="1" applyFont="1" applyBorder="1" applyAlignment="1">
      <alignment vertical="center" wrapText="1"/>
    </xf>
    <xf numFmtId="166" fontId="2" fillId="3" borderId="1" xfId="1" applyNumberFormat="1" applyFont="1" applyFill="1" applyBorder="1" applyAlignment="1">
      <alignment horizontal="center" vertical="center" wrapText="1"/>
    </xf>
    <xf numFmtId="43" fontId="2" fillId="3" borderId="1" xfId="1" applyNumberFormat="1" applyFont="1" applyFill="1" applyBorder="1" applyAlignment="1">
      <alignment horizontal="center" vertical="center" wrapText="1"/>
    </xf>
    <xf numFmtId="0" fontId="60" fillId="0" borderId="1" xfId="0" applyFont="1" applyBorder="1" applyAlignment="1">
      <alignment horizontal="center" vertical="center" wrapText="1"/>
    </xf>
    <xf numFmtId="0" fontId="14" fillId="0" borderId="0" xfId="0" applyFont="1"/>
    <xf numFmtId="165" fontId="60" fillId="0" borderId="1" xfId="1" applyNumberFormat="1" applyFont="1" applyBorder="1" applyAlignment="1">
      <alignment vertical="center" wrapText="1"/>
    </xf>
    <xf numFmtId="0" fontId="55" fillId="0" borderId="1" xfId="0" applyFont="1" applyBorder="1" applyAlignment="1">
      <alignment horizontal="center" vertical="center" wrapText="1"/>
    </xf>
    <xf numFmtId="0" fontId="55" fillId="0" borderId="1" xfId="0" applyFont="1" applyBorder="1"/>
    <xf numFmtId="0" fontId="55" fillId="0" borderId="0" xfId="0" applyFont="1" applyAlignment="1">
      <alignment horizontal="center" vertical="center" wrapText="1"/>
    </xf>
    <xf numFmtId="0" fontId="5" fillId="0" borderId="0" xfId="0" applyFont="1" applyAlignment="1">
      <alignment horizontal="center" vertical="center" wrapText="1"/>
    </xf>
    <xf numFmtId="0" fontId="14" fillId="0" borderId="0" xfId="0" applyFont="1" applyAlignment="1">
      <alignment horizontal="center"/>
    </xf>
    <xf numFmtId="0" fontId="13" fillId="0" borderId="0" xfId="0" applyFont="1" applyAlignment="1">
      <alignment horizontal="center" wrapText="1"/>
    </xf>
    <xf numFmtId="3" fontId="13" fillId="0" borderId="0" xfId="0" applyNumberFormat="1" applyFont="1" applyAlignment="1">
      <alignment horizontal="center"/>
    </xf>
    <xf numFmtId="37" fontId="13" fillId="0" borderId="0" xfId="0" applyNumberFormat="1" applyFont="1" applyAlignment="1">
      <alignment horizontal="center"/>
    </xf>
    <xf numFmtId="0" fontId="13" fillId="0" borderId="0" xfId="0" applyFont="1" applyAlignment="1">
      <alignment horizontal="center"/>
    </xf>
    <xf numFmtId="37" fontId="14" fillId="0" borderId="1" xfId="0" applyNumberFormat="1" applyFont="1" applyBorder="1" applyAlignment="1">
      <alignment horizontal="left" vertical="center"/>
    </xf>
    <xf numFmtId="0" fontId="12" fillId="0" borderId="1" xfId="0" applyFont="1" applyBorder="1" applyAlignment="1">
      <alignment horizontal="center"/>
    </xf>
    <xf numFmtId="3" fontId="14" fillId="0" borderId="0" xfId="0" applyNumberFormat="1" applyFont="1"/>
    <xf numFmtId="37" fontId="12" fillId="0" borderId="0" xfId="0" applyNumberFormat="1" applyFont="1"/>
    <xf numFmtId="0" fontId="12" fillId="0" borderId="0" xfId="0" applyFont="1"/>
    <xf numFmtId="167" fontId="2" fillId="0" borderId="0" xfId="0" applyNumberFormat="1" applyFont="1"/>
    <xf numFmtId="168" fontId="2" fillId="0" borderId="0" xfId="0" applyNumberFormat="1" applyFont="1"/>
    <xf numFmtId="0" fontId="5" fillId="0" borderId="0" xfId="0" applyFont="1"/>
    <xf numFmtId="0" fontId="2" fillId="0" borderId="0" xfId="0" applyFont="1" applyAlignment="1">
      <alignment horizontal="right"/>
    </xf>
    <xf numFmtId="0" fontId="6" fillId="0" borderId="0" xfId="0" applyFont="1"/>
    <xf numFmtId="166" fontId="5" fillId="0" borderId="0" xfId="0" applyNumberFormat="1" applyFont="1"/>
    <xf numFmtId="0" fontId="5" fillId="0" borderId="0" xfId="0" applyFont="1" applyAlignment="1">
      <alignment horizontal="right"/>
    </xf>
    <xf numFmtId="167" fontId="5" fillId="0" borderId="0" xfId="0" applyNumberFormat="1" applyFont="1"/>
    <xf numFmtId="1" fontId="2" fillId="0" borderId="0" xfId="0" applyNumberFormat="1" applyFont="1"/>
    <xf numFmtId="3" fontId="6" fillId="0" borderId="0" xfId="0" applyNumberFormat="1" applyFont="1"/>
    <xf numFmtId="0" fontId="6" fillId="0" borderId="0" xfId="0" applyFont="1" applyAlignment="1">
      <alignment horizontal="right"/>
    </xf>
    <xf numFmtId="3" fontId="2" fillId="0" borderId="0" xfId="0" applyNumberFormat="1" applyFont="1" applyAlignment="1">
      <alignment horizontal="center"/>
    </xf>
    <xf numFmtId="0" fontId="2" fillId="0" borderId="0" xfId="0" applyFont="1" applyAlignment="1">
      <alignment horizontal="right" vertical="center" wrapText="1"/>
    </xf>
    <xf numFmtId="0" fontId="30" fillId="0" borderId="0" xfId="0" applyFont="1"/>
    <xf numFmtId="37" fontId="14" fillId="5" borderId="1" xfId="0" applyNumberFormat="1" applyFont="1" applyFill="1" applyBorder="1" applyAlignment="1">
      <alignment vertical="center"/>
    </xf>
    <xf numFmtId="165" fontId="5" fillId="0" borderId="1" xfId="1" applyNumberFormat="1" applyFont="1" applyFill="1" applyBorder="1" applyAlignment="1">
      <alignment horizontal="right" vertical="center" wrapText="1"/>
    </xf>
    <xf numFmtId="0" fontId="14" fillId="0" borderId="0" xfId="20" applyFont="1" applyAlignment="1">
      <alignment horizontal="center" vertical="center" wrapText="1"/>
    </xf>
    <xf numFmtId="0" fontId="14" fillId="0" borderId="0" xfId="20" applyFont="1" applyAlignment="1">
      <alignment wrapText="1"/>
    </xf>
    <xf numFmtId="0" fontId="12" fillId="0" borderId="1" xfId="20" applyFont="1" applyBorder="1" applyAlignment="1">
      <alignment horizontal="center" vertical="center" wrapText="1"/>
    </xf>
    <xf numFmtId="166" fontId="14" fillId="0" borderId="0" xfId="20" applyNumberFormat="1" applyFont="1" applyAlignment="1">
      <alignment wrapText="1"/>
    </xf>
    <xf numFmtId="3" fontId="12" fillId="6" borderId="1" xfId="26" applyNumberFormat="1" applyFont="1" applyFill="1" applyBorder="1" applyAlignment="1">
      <alignment horizontal="center" vertical="center" wrapText="1"/>
    </xf>
    <xf numFmtId="49" fontId="12" fillId="6" borderId="1" xfId="26" applyNumberFormat="1" applyFont="1" applyFill="1" applyBorder="1" applyAlignment="1">
      <alignment horizontal="center" vertical="center" wrapText="1"/>
    </xf>
    <xf numFmtId="1" fontId="12" fillId="6" borderId="1" xfId="26" applyNumberFormat="1" applyFont="1" applyFill="1" applyBorder="1" applyAlignment="1">
      <alignment horizontal="center" vertical="center" wrapText="1"/>
    </xf>
    <xf numFmtId="173" fontId="12" fillId="6" borderId="1" xfId="26" applyNumberFormat="1" applyFont="1" applyFill="1" applyBorder="1" applyAlignment="1">
      <alignment horizontal="center" vertical="center" wrapText="1"/>
    </xf>
    <xf numFmtId="3" fontId="12" fillId="6" borderId="1" xfId="26" applyNumberFormat="1" applyFont="1" applyFill="1" applyBorder="1" applyAlignment="1">
      <alignment horizontal="right" vertical="center" wrapText="1"/>
    </xf>
    <xf numFmtId="0" fontId="12" fillId="6" borderId="1" xfId="20" applyFont="1" applyFill="1" applyBorder="1" applyAlignment="1">
      <alignment horizontal="center" vertical="center" wrapText="1"/>
    </xf>
    <xf numFmtId="166" fontId="14" fillId="6" borderId="0" xfId="20" applyNumberFormat="1" applyFont="1" applyFill="1" applyAlignment="1">
      <alignment wrapText="1"/>
    </xf>
    <xf numFmtId="0" fontId="14" fillId="6" borderId="0" xfId="20" applyFont="1" applyFill="1" applyAlignment="1">
      <alignment wrapText="1"/>
    </xf>
    <xf numFmtId="49" fontId="12" fillId="6" borderId="1" xfId="20" applyNumberFormat="1" applyFont="1" applyFill="1" applyBorder="1" applyAlignment="1">
      <alignment horizontal="center" vertical="center" wrapText="1"/>
    </xf>
    <xf numFmtId="166" fontId="12" fillId="6" borderId="1" xfId="4" applyNumberFormat="1" applyFont="1" applyFill="1" applyBorder="1" applyAlignment="1">
      <alignment vertical="center" wrapText="1"/>
    </xf>
    <xf numFmtId="166" fontId="12" fillId="6" borderId="1" xfId="4" applyNumberFormat="1" applyFont="1" applyFill="1" applyBorder="1" applyAlignment="1">
      <alignment horizontal="right" vertical="center" wrapText="1"/>
    </xf>
    <xf numFmtId="49" fontId="12" fillId="6" borderId="1" xfId="4" applyNumberFormat="1" applyFont="1" applyFill="1" applyBorder="1" applyAlignment="1">
      <alignment horizontal="right" vertical="center" wrapText="1"/>
    </xf>
    <xf numFmtId="3" fontId="12" fillId="6" borderId="1" xfId="4" applyNumberFormat="1" applyFont="1" applyFill="1" applyBorder="1" applyAlignment="1">
      <alignment horizontal="right" vertical="center" wrapText="1"/>
    </xf>
    <xf numFmtId="166" fontId="12" fillId="6" borderId="1" xfId="20" applyNumberFormat="1" applyFont="1" applyFill="1" applyBorder="1" applyAlignment="1">
      <alignment horizontal="center" vertical="center" wrapText="1"/>
    </xf>
    <xf numFmtId="0" fontId="12" fillId="6" borderId="0" xfId="20" applyFont="1" applyFill="1" applyAlignment="1">
      <alignment wrapText="1"/>
    </xf>
    <xf numFmtId="49" fontId="12" fillId="0" borderId="1" xfId="20" applyNumberFormat="1" applyFont="1" applyBorder="1" applyAlignment="1">
      <alignment horizontal="center" vertical="center" wrapText="1"/>
    </xf>
    <xf numFmtId="166" fontId="12" fillId="0" borderId="1" xfId="4" applyNumberFormat="1" applyFont="1" applyFill="1" applyBorder="1" applyAlignment="1">
      <alignment vertical="center" wrapText="1"/>
    </xf>
    <xf numFmtId="166" fontId="12" fillId="0" borderId="1" xfId="4" applyNumberFormat="1" applyFont="1" applyFill="1" applyBorder="1" applyAlignment="1">
      <alignment horizontal="right" vertical="center" wrapText="1"/>
    </xf>
    <xf numFmtId="49" fontId="12" fillId="0" borderId="1" xfId="4" applyNumberFormat="1" applyFont="1" applyFill="1" applyBorder="1" applyAlignment="1">
      <alignment horizontal="right" vertical="center" wrapText="1"/>
    </xf>
    <xf numFmtId="3" fontId="12" fillId="0" borderId="1" xfId="4" applyNumberFormat="1" applyFont="1" applyFill="1" applyBorder="1" applyAlignment="1">
      <alignment horizontal="right" vertical="center" wrapText="1"/>
    </xf>
    <xf numFmtId="166" fontId="12" fillId="0" borderId="1" xfId="20" applyNumberFormat="1" applyFont="1" applyBorder="1" applyAlignment="1">
      <alignment horizontal="center" vertical="center" wrapText="1"/>
    </xf>
    <xf numFmtId="0" fontId="12" fillId="0" borderId="0" xfId="20" applyFont="1" applyAlignment="1">
      <alignment wrapText="1"/>
    </xf>
    <xf numFmtId="166" fontId="12" fillId="0" borderId="1" xfId="20" applyNumberFormat="1" applyFont="1" applyBorder="1" applyAlignment="1">
      <alignment horizontal="right" vertical="center" wrapText="1"/>
    </xf>
    <xf numFmtId="49" fontId="12" fillId="0" borderId="1" xfId="20" applyNumberFormat="1" applyFont="1" applyBorder="1" applyAlignment="1">
      <alignment horizontal="right" vertical="center" wrapText="1"/>
    </xf>
    <xf numFmtId="3" fontId="12" fillId="0" borderId="1" xfId="20" applyNumberFormat="1" applyFont="1" applyBorder="1" applyAlignment="1">
      <alignment horizontal="center" vertical="center" wrapText="1"/>
    </xf>
    <xf numFmtId="166" fontId="12" fillId="0" borderId="0" xfId="20" applyNumberFormat="1" applyFont="1" applyAlignment="1">
      <alignment wrapText="1"/>
    </xf>
    <xf numFmtId="0" fontId="12" fillId="0" borderId="1" xfId="20" applyFont="1" applyBorder="1" applyAlignment="1">
      <alignment horizontal="justify" vertical="center" wrapText="1"/>
    </xf>
    <xf numFmtId="1" fontId="12" fillId="0" borderId="1" xfId="20" applyNumberFormat="1" applyFont="1" applyBorder="1" applyAlignment="1">
      <alignment horizontal="center" vertical="center" wrapText="1"/>
    </xf>
    <xf numFmtId="166" fontId="12" fillId="0" borderId="1" xfId="16" applyNumberFormat="1" applyFont="1" applyFill="1" applyBorder="1" applyAlignment="1">
      <alignment horizontal="right" vertical="center" wrapText="1"/>
    </xf>
    <xf numFmtId="166" fontId="14" fillId="0" borderId="1" xfId="20" applyNumberFormat="1" applyFont="1" applyBorder="1" applyAlignment="1">
      <alignment horizontal="right" vertical="center" wrapText="1"/>
    </xf>
    <xf numFmtId="49" fontId="12" fillId="0" borderId="1" xfId="16" applyNumberFormat="1" applyFont="1" applyFill="1" applyBorder="1" applyAlignment="1">
      <alignment horizontal="right" vertical="center" wrapText="1"/>
    </xf>
    <xf numFmtId="0" fontId="14" fillId="0" borderId="1" xfId="20" quotePrefix="1" applyFont="1" applyBorder="1" applyAlignment="1">
      <alignment horizontal="center" vertical="center" wrapText="1"/>
    </xf>
    <xf numFmtId="1" fontId="14" fillId="0" borderId="1" xfId="31" applyNumberFormat="1" applyFont="1" applyBorder="1" applyAlignment="1">
      <alignment horizontal="justify" vertical="center" wrapText="1"/>
    </xf>
    <xf numFmtId="49" fontId="14" fillId="0" borderId="1" xfId="20" applyNumberFormat="1" applyFont="1" applyBorder="1" applyAlignment="1">
      <alignment horizontal="center" vertical="center" wrapText="1"/>
    </xf>
    <xf numFmtId="2" fontId="14" fillId="0" borderId="1" xfId="20" applyNumberFormat="1" applyFont="1" applyBorder="1" applyAlignment="1">
      <alignment horizontal="center" vertical="center" wrapText="1"/>
    </xf>
    <xf numFmtId="1" fontId="14" fillId="0" borderId="1" xfId="20" applyNumberFormat="1" applyFont="1" applyBorder="1" applyAlignment="1">
      <alignment horizontal="center" vertical="center" wrapText="1"/>
    </xf>
    <xf numFmtId="175" fontId="14" fillId="0" borderId="1" xfId="16" applyNumberFormat="1" applyFont="1" applyFill="1" applyBorder="1" applyAlignment="1">
      <alignment horizontal="right" vertical="center"/>
    </xf>
    <xf numFmtId="175" fontId="14" fillId="0" borderId="1" xfId="20" applyNumberFormat="1" applyFont="1" applyBorder="1" applyAlignment="1">
      <alignment horizontal="right" vertical="center" wrapText="1"/>
    </xf>
    <xf numFmtId="166" fontId="14" fillId="0" borderId="1" xfId="14" applyNumberFormat="1" applyFont="1" applyFill="1" applyBorder="1" applyAlignment="1">
      <alignment horizontal="right" vertical="center"/>
    </xf>
    <xf numFmtId="166" fontId="14" fillId="0" borderId="1" xfId="4" applyNumberFormat="1" applyFont="1" applyFill="1" applyBorder="1" applyAlignment="1">
      <alignment horizontal="right" vertical="center" wrapText="1"/>
    </xf>
    <xf numFmtId="49" fontId="14" fillId="0" borderId="1" xfId="31" applyNumberFormat="1" applyFont="1" applyBorder="1" applyAlignment="1">
      <alignment horizontal="center" vertical="center" wrapText="1"/>
    </xf>
    <xf numFmtId="3" fontId="14" fillId="0" borderId="1" xfId="20" applyNumberFormat="1" applyFont="1" applyBorder="1" applyAlignment="1">
      <alignment vertical="center" wrapText="1"/>
    </xf>
    <xf numFmtId="3" fontId="14" fillId="0" borderId="1" xfId="4" applyNumberFormat="1" applyFont="1" applyFill="1" applyBorder="1" applyAlignment="1">
      <alignment horizontal="right" vertical="center" wrapText="1"/>
    </xf>
    <xf numFmtId="3" fontId="14" fillId="0" borderId="1" xfId="20" applyNumberFormat="1" applyFont="1" applyBorder="1" applyAlignment="1">
      <alignment horizontal="right" vertical="center" wrapText="1"/>
    </xf>
    <xf numFmtId="166" fontId="14" fillId="0" borderId="1" xfId="16" applyNumberFormat="1" applyFont="1" applyFill="1" applyBorder="1" applyAlignment="1">
      <alignment horizontal="center" vertical="center" wrapText="1"/>
    </xf>
    <xf numFmtId="3" fontId="14" fillId="0" borderId="1" xfId="20" applyNumberFormat="1" applyFont="1" applyBorder="1" applyAlignment="1">
      <alignment horizontal="center" vertical="center" wrapText="1"/>
    </xf>
    <xf numFmtId="0" fontId="14" fillId="0" borderId="1" xfId="20" applyFont="1" applyBorder="1" applyAlignment="1">
      <alignment horizontal="center" vertical="center" wrapText="1"/>
    </xf>
    <xf numFmtId="0" fontId="14" fillId="0" borderId="1" xfId="20" applyFont="1" applyBorder="1" applyAlignment="1">
      <alignment horizontal="justify" vertical="center" wrapText="1"/>
    </xf>
    <xf numFmtId="175" fontId="14" fillId="0" borderId="1" xfId="31" applyNumberFormat="1" applyFont="1" applyBorder="1" applyAlignment="1">
      <alignment horizontal="right" vertical="center"/>
    </xf>
    <xf numFmtId="3" fontId="14" fillId="0" borderId="1" xfId="16" applyNumberFormat="1" applyFont="1" applyFill="1" applyBorder="1" applyAlignment="1">
      <alignment horizontal="right" vertical="center" wrapText="1"/>
    </xf>
    <xf numFmtId="0" fontId="12" fillId="0" borderId="1" xfId="22" quotePrefix="1" applyFont="1" applyBorder="1" applyAlignment="1">
      <alignment horizontal="center" vertical="center" wrapText="1"/>
    </xf>
    <xf numFmtId="1" fontId="12" fillId="0" borderId="1" xfId="31" applyNumberFormat="1" applyFont="1" applyBorder="1" applyAlignment="1">
      <alignment horizontal="justify" vertical="center" wrapText="1"/>
    </xf>
    <xf numFmtId="43" fontId="12" fillId="0" borderId="1" xfId="16" applyFont="1" applyFill="1" applyBorder="1" applyAlignment="1">
      <alignment horizontal="center" vertical="center" wrapText="1"/>
    </xf>
    <xf numFmtId="166" fontId="12" fillId="0" borderId="1" xfId="16" applyNumberFormat="1" applyFont="1" applyFill="1" applyBorder="1" applyAlignment="1">
      <alignment horizontal="right" vertical="center"/>
    </xf>
    <xf numFmtId="173" fontId="12" fillId="0" borderId="1" xfId="20" applyNumberFormat="1" applyFont="1" applyBorder="1" applyAlignment="1">
      <alignment horizontal="right" vertical="center" wrapText="1"/>
    </xf>
    <xf numFmtId="2" fontId="12" fillId="0" borderId="1" xfId="16" applyNumberFormat="1" applyFont="1" applyFill="1" applyBorder="1" applyAlignment="1">
      <alignment horizontal="right" vertical="center" wrapText="1"/>
    </xf>
    <xf numFmtId="3" fontId="12" fillId="0" borderId="1" xfId="20" applyNumberFormat="1" applyFont="1" applyBorder="1" applyAlignment="1">
      <alignment horizontal="right" vertical="center" wrapText="1"/>
    </xf>
    <xf numFmtId="43" fontId="12" fillId="0" borderId="1" xfId="16" applyFont="1" applyFill="1" applyBorder="1" applyAlignment="1">
      <alignment horizontal="right" vertical="center" wrapText="1"/>
    </xf>
    <xf numFmtId="1" fontId="12" fillId="0" borderId="1" xfId="31" applyNumberFormat="1" applyFont="1" applyBorder="1" applyAlignment="1">
      <alignment horizontal="center" vertical="center" wrapText="1"/>
    </xf>
    <xf numFmtId="49" fontId="12" fillId="0" borderId="1" xfId="16" applyNumberFormat="1" applyFont="1" applyFill="1" applyBorder="1" applyAlignment="1">
      <alignment horizontal="center" vertical="center" wrapText="1"/>
    </xf>
    <xf numFmtId="1" fontId="12" fillId="0" borderId="1" xfId="31" quotePrefix="1" applyNumberFormat="1" applyFont="1" applyBorder="1" applyAlignment="1">
      <alignment horizontal="center" vertical="center" wrapText="1"/>
    </xf>
    <xf numFmtId="173" fontId="12" fillId="0" borderId="1" xfId="22" applyNumberFormat="1" applyFont="1" applyBorder="1" applyAlignment="1">
      <alignment horizontal="center" vertical="center" wrapText="1"/>
    </xf>
    <xf numFmtId="0" fontId="14" fillId="0" borderId="1" xfId="30" applyFont="1" applyBorder="1" applyAlignment="1">
      <alignment horizontal="justify" vertical="center" wrapText="1"/>
    </xf>
    <xf numFmtId="166" fontId="4" fillId="0" borderId="1" xfId="30" applyNumberFormat="1" applyFont="1" applyBorder="1" applyAlignment="1">
      <alignment vertical="center"/>
    </xf>
    <xf numFmtId="2" fontId="14" fillId="0" borderId="1" xfId="20" applyNumberFormat="1" applyFont="1" applyBorder="1" applyAlignment="1">
      <alignment horizontal="right" vertical="center" wrapText="1"/>
    </xf>
    <xf numFmtId="0" fontId="14" fillId="0" borderId="1" xfId="27" applyFont="1" applyBorder="1" applyAlignment="1">
      <alignment horizontal="center" vertical="center" wrapText="1"/>
    </xf>
    <xf numFmtId="49" fontId="14" fillId="0" borderId="1" xfId="0" quotePrefix="1"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166" fontId="14" fillId="0" borderId="1" xfId="30" applyNumberFormat="1" applyFont="1" applyBorder="1" applyAlignment="1">
      <alignment vertical="center"/>
    </xf>
    <xf numFmtId="166" fontId="14" fillId="0" borderId="1" xfId="16" applyNumberFormat="1" applyFont="1" applyFill="1" applyBorder="1" applyAlignment="1">
      <alignment horizontal="right" vertical="center" wrapText="1"/>
    </xf>
    <xf numFmtId="1" fontId="14" fillId="0" borderId="1" xfId="31" quotePrefix="1" applyNumberFormat="1" applyFont="1" applyBorder="1" applyAlignment="1">
      <alignment horizontal="center" vertical="center" wrapText="1"/>
    </xf>
    <xf numFmtId="166" fontId="14" fillId="0" borderId="1" xfId="20" applyNumberFormat="1" applyFont="1" applyBorder="1" applyAlignment="1">
      <alignment horizontal="center" vertical="center" wrapText="1"/>
    </xf>
    <xf numFmtId="166" fontId="14" fillId="0" borderId="1" xfId="30" applyNumberFormat="1" applyFont="1" applyBorder="1" applyAlignment="1">
      <alignment horizontal="right" vertical="center"/>
    </xf>
    <xf numFmtId="3" fontId="14" fillId="0" borderId="1" xfId="28" applyNumberFormat="1" applyFont="1" applyBorder="1" applyAlignment="1">
      <alignment vertical="center"/>
    </xf>
    <xf numFmtId="3" fontId="14" fillId="0" borderId="1" xfId="28" applyNumberFormat="1" applyFont="1" applyBorder="1"/>
    <xf numFmtId="49" fontId="14" fillId="0" borderId="1" xfId="27" applyNumberFormat="1" applyFont="1" applyBorder="1" applyAlignment="1">
      <alignment horizontal="center" vertical="center" wrapText="1"/>
    </xf>
    <xf numFmtId="49" fontId="14" fillId="0" borderId="0" xfId="20" applyNumberFormat="1" applyFont="1" applyAlignment="1">
      <alignment wrapText="1"/>
    </xf>
    <xf numFmtId="49" fontId="14" fillId="0" borderId="0" xfId="20" applyNumberFormat="1" applyFont="1" applyAlignment="1">
      <alignment horizontal="center" wrapText="1"/>
    </xf>
    <xf numFmtId="1" fontId="14" fillId="0" borderId="0" xfId="20" applyNumberFormat="1" applyFont="1" applyAlignment="1">
      <alignment wrapText="1"/>
    </xf>
    <xf numFmtId="173" fontId="14" fillId="0" borderId="0" xfId="20" applyNumberFormat="1" applyFont="1" applyAlignment="1">
      <alignment wrapText="1"/>
    </xf>
    <xf numFmtId="2" fontId="14" fillId="0" borderId="0" xfId="20" applyNumberFormat="1" applyFont="1" applyAlignment="1">
      <alignment wrapText="1"/>
    </xf>
    <xf numFmtId="166" fontId="14" fillId="0" borderId="0" xfId="20" applyNumberFormat="1" applyFont="1" applyAlignment="1">
      <alignment horizontal="center" wrapText="1"/>
    </xf>
    <xf numFmtId="3" fontId="14" fillId="0" borderId="0" xfId="20" applyNumberFormat="1" applyFont="1" applyAlignment="1">
      <alignment wrapText="1"/>
    </xf>
    <xf numFmtId="0" fontId="14" fillId="0" borderId="0" xfId="20" applyFont="1" applyAlignment="1">
      <alignment horizontal="center" wrapText="1"/>
    </xf>
    <xf numFmtId="1" fontId="13" fillId="0" borderId="0" xfId="31" applyNumberFormat="1" applyFont="1" applyAlignment="1">
      <alignment vertical="center" wrapText="1"/>
    </xf>
    <xf numFmtId="3" fontId="12" fillId="0" borderId="0" xfId="31" applyNumberFormat="1" applyFont="1" applyAlignment="1">
      <alignment horizontal="center" vertical="center" wrapText="1"/>
    </xf>
    <xf numFmtId="1" fontId="14" fillId="0" borderId="0" xfId="31" applyNumberFormat="1" applyFont="1" applyAlignment="1">
      <alignment vertical="center" wrapText="1"/>
    </xf>
    <xf numFmtId="3" fontId="12" fillId="0" borderId="1" xfId="31" applyNumberFormat="1" applyFont="1" applyBorder="1" applyAlignment="1">
      <alignment horizontal="center" vertical="center" wrapText="1"/>
    </xf>
    <xf numFmtId="3" fontId="14" fillId="0" borderId="0" xfId="31" applyNumberFormat="1" applyFont="1" applyAlignment="1">
      <alignment horizontal="center" vertical="center" wrapText="1"/>
    </xf>
    <xf numFmtId="3" fontId="15" fillId="0" borderId="1" xfId="31" applyNumberFormat="1" applyFont="1" applyBorder="1" applyAlignment="1">
      <alignment horizontal="center" vertical="center" wrapText="1"/>
    </xf>
    <xf numFmtId="3" fontId="12" fillId="0" borderId="0" xfId="31" applyNumberFormat="1" applyFont="1" applyAlignment="1">
      <alignment vertical="center" wrapText="1"/>
    </xf>
    <xf numFmtId="3" fontId="14" fillId="0" borderId="1" xfId="31" quotePrefix="1" applyNumberFormat="1" applyFont="1" applyBorder="1" applyAlignment="1">
      <alignment horizontal="center" vertical="center" wrapText="1"/>
    </xf>
    <xf numFmtId="3" fontId="14" fillId="0" borderId="0" xfId="31" applyNumberFormat="1" applyFont="1" applyAlignment="1">
      <alignment vertical="center" wrapText="1"/>
    </xf>
    <xf numFmtId="3" fontId="12" fillId="0" borderId="1" xfId="31" quotePrefix="1" applyNumberFormat="1" applyFont="1" applyBorder="1" applyAlignment="1">
      <alignment horizontal="center" vertical="center" wrapText="1"/>
    </xf>
    <xf numFmtId="3" fontId="12" fillId="0" borderId="1" xfId="31" quotePrefix="1" applyNumberFormat="1" applyFont="1" applyBorder="1" applyAlignment="1">
      <alignment horizontal="right" vertical="center" wrapText="1"/>
    </xf>
    <xf numFmtId="49" fontId="12" fillId="0" borderId="1" xfId="31" applyNumberFormat="1" applyFont="1" applyBorder="1" applyAlignment="1">
      <alignment horizontal="center" vertical="center"/>
    </xf>
    <xf numFmtId="1" fontId="12" fillId="0" borderId="1" xfId="31" applyNumberFormat="1" applyFont="1" applyBorder="1" applyAlignment="1">
      <alignment vertical="center" wrapText="1"/>
    </xf>
    <xf numFmtId="166" fontId="12" fillId="0" borderId="1" xfId="15" applyNumberFormat="1" applyFont="1" applyFill="1" applyBorder="1" applyAlignment="1">
      <alignment horizontal="right" vertical="center" wrapText="1"/>
    </xf>
    <xf numFmtId="49" fontId="14" fillId="0" borderId="1" xfId="31" applyNumberFormat="1" applyFont="1" applyBorder="1" applyAlignment="1">
      <alignment horizontal="center" vertical="center"/>
    </xf>
    <xf numFmtId="0" fontId="14" fillId="0" borderId="1" xfId="0" applyFont="1" applyBorder="1" applyAlignment="1">
      <alignment horizontal="left" vertical="center" wrapText="1"/>
    </xf>
    <xf numFmtId="166" fontId="14" fillId="0" borderId="1" xfId="15" applyNumberFormat="1" applyFont="1" applyFill="1" applyBorder="1" applyAlignment="1">
      <alignment horizontal="right" vertical="center" wrapText="1"/>
    </xf>
    <xf numFmtId="3" fontId="14" fillId="0" borderId="1" xfId="0" applyNumberFormat="1" applyFont="1" applyBorder="1" applyAlignment="1">
      <alignment horizontal="right" vertical="center"/>
    </xf>
    <xf numFmtId="3" fontId="14" fillId="0" borderId="1" xfId="31" quotePrefix="1" applyNumberFormat="1" applyFont="1" applyBorder="1" applyAlignment="1">
      <alignment horizontal="right" vertical="center" wrapText="1"/>
    </xf>
    <xf numFmtId="49" fontId="14" fillId="5" borderId="1" xfId="31" applyNumberFormat="1" applyFont="1" applyFill="1" applyBorder="1" applyAlignment="1">
      <alignment horizontal="center" vertical="center"/>
    </xf>
    <xf numFmtId="1" fontId="14" fillId="5" borderId="1" xfId="31" applyNumberFormat="1" applyFont="1" applyFill="1" applyBorder="1" applyAlignment="1">
      <alignment vertical="center" wrapText="1"/>
    </xf>
    <xf numFmtId="1" fontId="14" fillId="5" borderId="1" xfId="31" applyNumberFormat="1" applyFont="1" applyFill="1" applyBorder="1" applyAlignment="1">
      <alignment horizontal="center" vertical="center" wrapText="1"/>
    </xf>
    <xf numFmtId="166" fontId="14" fillId="5" borderId="1" xfId="9" applyNumberFormat="1" applyFont="1" applyFill="1" applyBorder="1" applyAlignment="1">
      <alignment vertical="center"/>
    </xf>
    <xf numFmtId="3" fontId="14" fillId="5" borderId="1" xfId="31" quotePrefix="1" applyNumberFormat="1" applyFont="1" applyFill="1" applyBorder="1" applyAlignment="1">
      <alignment horizontal="right" vertical="center" wrapText="1"/>
    </xf>
    <xf numFmtId="1" fontId="14" fillId="5" borderId="1" xfId="31" applyNumberFormat="1" applyFont="1" applyFill="1" applyBorder="1" applyAlignment="1">
      <alignment vertical="center"/>
    </xf>
    <xf numFmtId="166" fontId="14" fillId="5" borderId="1" xfId="15" applyNumberFormat="1" applyFont="1" applyFill="1" applyBorder="1" applyAlignment="1">
      <alignment horizontal="right" vertical="center" wrapText="1"/>
    </xf>
    <xf numFmtId="1" fontId="14" fillId="5" borderId="0" xfId="31" applyNumberFormat="1" applyFont="1" applyFill="1" applyAlignment="1">
      <alignment vertical="center"/>
    </xf>
    <xf numFmtId="1" fontId="14" fillId="0" borderId="0" xfId="31" applyNumberFormat="1" applyFont="1" applyAlignment="1">
      <alignment vertical="center"/>
    </xf>
    <xf numFmtId="1" fontId="14" fillId="0" borderId="0" xfId="31" applyNumberFormat="1" applyFont="1" applyAlignment="1">
      <alignment horizontal="center" vertical="center"/>
    </xf>
    <xf numFmtId="0" fontId="65" fillId="0" borderId="0" xfId="0" applyFont="1"/>
    <xf numFmtId="1" fontId="14" fillId="0" borderId="0" xfId="31" applyNumberFormat="1" applyFont="1" applyAlignment="1">
      <alignment horizontal="center" vertical="center" wrapText="1"/>
    </xf>
    <xf numFmtId="1" fontId="14" fillId="0" borderId="0" xfId="31" applyNumberFormat="1" applyFont="1" applyAlignment="1">
      <alignment horizontal="right" vertical="center"/>
    </xf>
    <xf numFmtId="0" fontId="4" fillId="5" borderId="0" xfId="23" applyFont="1" applyFill="1"/>
    <xf numFmtId="0" fontId="4" fillId="0" borderId="0" xfId="23" applyFont="1" applyAlignment="1">
      <alignment horizontal="center"/>
    </xf>
    <xf numFmtId="0" fontId="4" fillId="0" borderId="0" xfId="23" applyFont="1"/>
    <xf numFmtId="0" fontId="4" fillId="0" borderId="0" xfId="23" applyFont="1" applyAlignment="1">
      <alignment horizontal="center" vertical="center"/>
    </xf>
    <xf numFmtId="0" fontId="3" fillId="5" borderId="0" xfId="23" applyFont="1" applyFill="1"/>
    <xf numFmtId="0" fontId="3" fillId="0" borderId="1" xfId="23" applyFont="1" applyBorder="1" applyAlignment="1">
      <alignment horizontal="center" vertical="center" wrapText="1"/>
    </xf>
    <xf numFmtId="3" fontId="3" fillId="0" borderId="1" xfId="23" applyNumberFormat="1" applyFont="1" applyBorder="1" applyAlignment="1">
      <alignment horizontal="right" vertical="center" wrapText="1"/>
    </xf>
    <xf numFmtId="166" fontId="3" fillId="0" borderId="1" xfId="17" applyNumberFormat="1" applyFont="1" applyFill="1" applyBorder="1" applyAlignment="1">
      <alignment horizontal="right" vertical="center" wrapText="1"/>
    </xf>
    <xf numFmtId="3" fontId="3" fillId="5" borderId="0" xfId="23" applyNumberFormat="1" applyFont="1" applyFill="1"/>
    <xf numFmtId="0" fontId="4" fillId="0" borderId="1" xfId="23" applyFont="1" applyBorder="1" applyAlignment="1">
      <alignment horizontal="center" vertical="center"/>
    </xf>
    <xf numFmtId="0" fontId="3" fillId="0" borderId="1" xfId="23" applyFont="1" applyBorder="1" applyAlignment="1">
      <alignment vertical="center"/>
    </xf>
    <xf numFmtId="3" fontId="3" fillId="0" borderId="1" xfId="23" applyNumberFormat="1" applyFont="1" applyBorder="1" applyAlignment="1">
      <alignment vertical="center"/>
    </xf>
    <xf numFmtId="166" fontId="3" fillId="0" borderId="1" xfId="17" applyNumberFormat="1" applyFont="1" applyFill="1" applyBorder="1"/>
    <xf numFmtId="0" fontId="3" fillId="0" borderId="1" xfId="23" applyFont="1" applyBorder="1" applyAlignment="1">
      <alignment horizontal="center" vertical="center"/>
    </xf>
    <xf numFmtId="0" fontId="35" fillId="0" borderId="1" xfId="23" applyFont="1" applyBorder="1" applyAlignment="1">
      <alignment vertical="center"/>
    </xf>
    <xf numFmtId="3" fontId="3" fillId="0" borderId="1" xfId="23" applyNumberFormat="1" applyFont="1" applyBorder="1" applyAlignment="1">
      <alignment horizontal="right" vertical="center"/>
    </xf>
    <xf numFmtId="3" fontId="3" fillId="0" borderId="1" xfId="23" applyNumberFormat="1" applyFont="1" applyBorder="1"/>
    <xf numFmtId="0" fontId="4" fillId="0" borderId="1" xfId="19" applyFont="1" applyBorder="1" applyAlignment="1">
      <alignment vertical="center" wrapText="1"/>
    </xf>
    <xf numFmtId="3" fontId="4" fillId="0" borderId="1" xfId="23" applyNumberFormat="1" applyFont="1" applyBorder="1" applyAlignment="1">
      <alignment vertical="center"/>
    </xf>
    <xf numFmtId="166" fontId="4" fillId="0" borderId="1" xfId="17" applyNumberFormat="1" applyFont="1" applyFill="1" applyBorder="1" applyAlignment="1">
      <alignment vertical="center"/>
    </xf>
    <xf numFmtId="166" fontId="4" fillId="0" borderId="1" xfId="17" applyNumberFormat="1" applyFont="1" applyFill="1" applyBorder="1" applyAlignment="1">
      <alignment horizontal="right" vertical="center"/>
    </xf>
    <xf numFmtId="166" fontId="4" fillId="0" borderId="1" xfId="17" applyNumberFormat="1" applyFont="1" applyFill="1" applyBorder="1"/>
    <xf numFmtId="0" fontId="3" fillId="0" borderId="1" xfId="23" quotePrefix="1" applyFont="1" applyBorder="1" applyAlignment="1">
      <alignment vertical="center"/>
    </xf>
    <xf numFmtId="0" fontId="3" fillId="0" borderId="1" xfId="23" quotePrefix="1" applyFont="1" applyBorder="1" applyAlignment="1">
      <alignment horizontal="center" vertical="center" wrapText="1"/>
    </xf>
    <xf numFmtId="166" fontId="3" fillId="0" borderId="1" xfId="17" applyNumberFormat="1" applyFont="1" applyFill="1" applyBorder="1" applyAlignment="1">
      <alignment vertical="center"/>
    </xf>
    <xf numFmtId="0" fontId="4" fillId="0" borderId="1" xfId="23" applyFont="1" applyBorder="1" applyAlignment="1">
      <alignment vertical="center" wrapText="1"/>
    </xf>
    <xf numFmtId="166" fontId="4" fillId="0" borderId="4" xfId="17" applyNumberFormat="1" applyFont="1" applyFill="1" applyBorder="1"/>
    <xf numFmtId="0" fontId="3" fillId="0" borderId="1" xfId="23" applyFont="1" applyBorder="1" applyAlignment="1">
      <alignment vertical="center" wrapText="1"/>
    </xf>
    <xf numFmtId="3" fontId="3" fillId="0" borderId="3" xfId="23" applyNumberFormat="1" applyFont="1" applyBorder="1"/>
    <xf numFmtId="0" fontId="4" fillId="5" borderId="0" xfId="23" applyFont="1" applyFill="1" applyAlignment="1">
      <alignment vertical="center"/>
    </xf>
    <xf numFmtId="0" fontId="4" fillId="0" borderId="1" xfId="23" applyFont="1" applyBorder="1" applyAlignment="1">
      <alignment vertical="center"/>
    </xf>
    <xf numFmtId="0" fontId="66" fillId="5" borderId="0" xfId="23" applyFont="1" applyFill="1" applyAlignment="1">
      <alignment vertical="center"/>
    </xf>
    <xf numFmtId="0" fontId="3" fillId="0" borderId="1" xfId="23" quotePrefix="1" applyFont="1" applyBorder="1" applyAlignment="1">
      <alignment horizontal="center" vertical="center"/>
    </xf>
    <xf numFmtId="0" fontId="4" fillId="0" borderId="1" xfId="23" quotePrefix="1" applyFont="1" applyBorder="1" applyAlignment="1">
      <alignment vertical="center" wrapText="1"/>
    </xf>
    <xf numFmtId="0" fontId="4" fillId="0" borderId="1" xfId="23" quotePrefix="1" applyFont="1" applyBorder="1" applyAlignment="1">
      <alignment horizontal="center" vertical="center" wrapText="1"/>
    </xf>
    <xf numFmtId="0" fontId="4" fillId="5" borderId="0" xfId="23" applyFont="1" applyFill="1" applyAlignment="1">
      <alignment horizontal="center"/>
    </xf>
    <xf numFmtId="0" fontId="4" fillId="5" borderId="0" xfId="23" applyFont="1" applyFill="1" applyAlignment="1">
      <alignment horizontal="center" vertical="center"/>
    </xf>
    <xf numFmtId="0" fontId="4" fillId="5" borderId="0" xfId="23" applyFont="1" applyFill="1" applyAlignment="1">
      <alignment horizontal="right" vertical="center"/>
    </xf>
    <xf numFmtId="0" fontId="12" fillId="0" borderId="1" xfId="0" applyFont="1" applyBorder="1" applyAlignment="1">
      <alignment horizontal="center" vertical="center"/>
    </xf>
    <xf numFmtId="0" fontId="14" fillId="5" borderId="1" xfId="0" applyFont="1" applyFill="1" applyBorder="1" applyAlignment="1">
      <alignment vertical="center" shrinkToFit="1"/>
    </xf>
    <xf numFmtId="37" fontId="12" fillId="0" borderId="1" xfId="0" applyNumberFormat="1" applyFont="1" applyBorder="1" applyAlignment="1">
      <alignment horizontal="center" vertical="center"/>
    </xf>
    <xf numFmtId="37" fontId="12" fillId="0" borderId="1" xfId="0" applyNumberFormat="1" applyFont="1" applyBorder="1" applyAlignment="1">
      <alignment horizontal="center" vertical="center" wrapText="1"/>
    </xf>
    <xf numFmtId="37" fontId="12" fillId="0" borderId="1" xfId="0" applyNumberFormat="1" applyFont="1" applyBorder="1" applyAlignment="1">
      <alignment horizontal="right" vertical="center" wrapText="1"/>
    </xf>
    <xf numFmtId="37" fontId="12" fillId="0" borderId="1" xfId="0" applyNumberFormat="1" applyFont="1" applyBorder="1" applyAlignment="1">
      <alignment horizontal="left" vertical="center"/>
    </xf>
    <xf numFmtId="37" fontId="12" fillId="0" borderId="1" xfId="0" applyNumberFormat="1" applyFont="1" applyBorder="1" applyAlignment="1">
      <alignment vertical="center" wrapText="1"/>
    </xf>
    <xf numFmtId="37" fontId="14" fillId="0" borderId="1" xfId="0" quotePrefix="1" applyNumberFormat="1" applyFont="1" applyBorder="1" applyAlignment="1">
      <alignment horizontal="center" vertical="center"/>
    </xf>
    <xf numFmtId="37" fontId="14" fillId="0" borderId="1" xfId="0" applyNumberFormat="1" applyFont="1" applyBorder="1" applyAlignment="1">
      <alignment vertical="center"/>
    </xf>
    <xf numFmtId="164" fontId="14" fillId="5" borderId="1" xfId="1" applyFont="1" applyFill="1" applyBorder="1" applyAlignment="1">
      <alignment vertical="center"/>
    </xf>
    <xf numFmtId="37" fontId="12" fillId="0" borderId="1" xfId="0" applyNumberFormat="1" applyFont="1" applyBorder="1" applyAlignment="1">
      <alignment vertical="center"/>
    </xf>
    <xf numFmtId="0" fontId="14" fillId="0" borderId="1" xfId="0" quotePrefix="1" applyFont="1" applyBorder="1" applyAlignment="1">
      <alignment vertical="center" wrapText="1"/>
    </xf>
    <xf numFmtId="165" fontId="14" fillId="0" borderId="1" xfId="1" applyNumberFormat="1" applyFont="1" applyBorder="1" applyAlignment="1">
      <alignment vertical="center"/>
    </xf>
    <xf numFmtId="0" fontId="12" fillId="0" borderId="0" xfId="0" applyFont="1" applyAlignment="1">
      <alignment vertical="center"/>
    </xf>
    <xf numFmtId="37" fontId="14" fillId="0" borderId="1" xfId="0" applyNumberFormat="1" applyFont="1" applyBorder="1" applyAlignment="1">
      <alignment horizontal="center" vertical="center"/>
    </xf>
    <xf numFmtId="37" fontId="14" fillId="0" borderId="1" xfId="0" applyNumberFormat="1" applyFont="1" applyBorder="1" applyAlignment="1">
      <alignment vertical="center" wrapText="1"/>
    </xf>
    <xf numFmtId="39" fontId="14" fillId="0" borderId="1" xfId="0" applyNumberFormat="1" applyFont="1" applyBorder="1" applyAlignment="1">
      <alignment vertical="center"/>
    </xf>
    <xf numFmtId="37" fontId="14" fillId="5" borderId="19" xfId="0" applyNumberFormat="1" applyFont="1" applyFill="1" applyBorder="1"/>
    <xf numFmtId="37" fontId="14" fillId="5" borderId="7" xfId="0" applyNumberFormat="1" applyFont="1" applyFill="1" applyBorder="1"/>
    <xf numFmtId="39" fontId="12" fillId="0" borderId="1" xfId="0" applyNumberFormat="1" applyFont="1" applyBorder="1" applyAlignment="1">
      <alignment vertical="center"/>
    </xf>
    <xf numFmtId="0" fontId="12" fillId="0" borderId="1" xfId="0" applyFont="1" applyBorder="1" applyAlignment="1">
      <alignment vertical="center"/>
    </xf>
    <xf numFmtId="3" fontId="12" fillId="0" borderId="1" xfId="0" applyNumberFormat="1" applyFont="1" applyBorder="1" applyAlignment="1">
      <alignment vertical="center"/>
    </xf>
    <xf numFmtId="173" fontId="14" fillId="0" borderId="0" xfId="0" applyNumberFormat="1" applyFont="1"/>
    <xf numFmtId="0" fontId="9" fillId="0" borderId="1" xfId="0" applyFont="1" applyBorder="1" applyAlignment="1">
      <alignment horizontal="left" vertical="center" wrapText="1"/>
    </xf>
    <xf numFmtId="167" fontId="9" fillId="0" borderId="0" xfId="0" applyNumberFormat="1" applyFont="1"/>
    <xf numFmtId="0" fontId="9" fillId="0" borderId="0" xfId="0" applyFont="1" applyAlignment="1">
      <alignment horizontal="right"/>
    </xf>
    <xf numFmtId="0" fontId="2" fillId="0" borderId="1" xfId="0" applyFont="1" applyBorder="1" applyAlignment="1">
      <alignment horizontal="left" vertical="center" wrapText="1"/>
    </xf>
    <xf numFmtId="37" fontId="14" fillId="0" borderId="1" xfId="0" applyNumberFormat="1" applyFont="1" applyFill="1" applyBorder="1" applyAlignment="1">
      <alignment horizontal="center" vertical="center"/>
    </xf>
    <xf numFmtId="37" fontId="14" fillId="0" borderId="1" xfId="0" applyNumberFormat="1" applyFont="1" applyFill="1" applyBorder="1" applyAlignment="1">
      <alignment vertical="center"/>
    </xf>
    <xf numFmtId="0" fontId="14" fillId="0" borderId="0" xfId="0" applyFont="1" applyFill="1" applyAlignment="1">
      <alignment vertical="center"/>
    </xf>
    <xf numFmtId="37" fontId="14" fillId="0" borderId="1" xfId="0" applyNumberFormat="1" applyFont="1" applyFill="1" applyBorder="1" applyAlignment="1">
      <alignment vertical="center" wrapText="1"/>
    </xf>
    <xf numFmtId="37" fontId="14" fillId="0" borderId="1" xfId="1" applyNumberFormat="1" applyFont="1" applyFill="1" applyBorder="1" applyAlignment="1">
      <alignment horizontal="right" vertical="center"/>
    </xf>
    <xf numFmtId="0" fontId="12" fillId="0" borderId="0" xfId="0" applyFont="1" applyFill="1" applyAlignment="1">
      <alignment vertical="center"/>
    </xf>
    <xf numFmtId="164" fontId="14" fillId="0" borderId="1" xfId="1" applyFont="1" applyFill="1" applyBorder="1" applyAlignment="1">
      <alignment vertical="center"/>
    </xf>
    <xf numFmtId="37" fontId="14" fillId="0" borderId="19" xfId="0" applyNumberFormat="1" applyFont="1" applyFill="1" applyBorder="1" applyAlignment="1">
      <alignment vertical="center"/>
    </xf>
    <xf numFmtId="39" fontId="14" fillId="0" borderId="1" xfId="0" applyNumberFormat="1" applyFont="1" applyFill="1" applyBorder="1" applyAlignment="1">
      <alignment vertical="center"/>
    </xf>
    <xf numFmtId="0" fontId="5"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71" fillId="0" borderId="1" xfId="0" applyFont="1" applyBorder="1" applyAlignment="1">
      <alignment horizontal="center" vertical="center" wrapText="1"/>
    </xf>
    <xf numFmtId="0" fontId="72"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vertical="center"/>
    </xf>
    <xf numFmtId="3" fontId="24" fillId="0" borderId="1" xfId="0" applyNumberFormat="1" applyFon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vertical="center"/>
    </xf>
    <xf numFmtId="3" fontId="23" fillId="0" borderId="1" xfId="0" applyNumberFormat="1" applyFont="1" applyBorder="1" applyAlignment="1">
      <alignment vertical="center"/>
    </xf>
    <xf numFmtId="3" fontId="27" fillId="0" borderId="1" xfId="0" applyNumberFormat="1" applyFont="1" applyBorder="1" applyAlignment="1">
      <alignment vertical="center"/>
    </xf>
    <xf numFmtId="0" fontId="23" fillId="0" borderId="1" xfId="0" quotePrefix="1" applyFont="1" applyBorder="1" applyAlignment="1">
      <alignment horizontal="center" vertical="center"/>
    </xf>
    <xf numFmtId="3" fontId="26" fillId="0" borderId="1" xfId="0" applyNumberFormat="1" applyFont="1" applyBorder="1" applyAlignment="1">
      <alignment vertical="center"/>
    </xf>
    <xf numFmtId="0" fontId="28" fillId="0" borderId="1" xfId="0" applyFont="1" applyBorder="1" applyAlignment="1">
      <alignment vertical="center"/>
    </xf>
    <xf numFmtId="3" fontId="61" fillId="0" borderId="1" xfId="0" applyNumberFormat="1" applyFont="1" applyBorder="1" applyAlignment="1">
      <alignment vertical="center"/>
    </xf>
    <xf numFmtId="0" fontId="14" fillId="0" borderId="1" xfId="32" quotePrefix="1" applyBorder="1" applyAlignment="1">
      <alignment horizontal="left" vertical="center" wrapText="1"/>
    </xf>
    <xf numFmtId="0" fontId="23" fillId="0" borderId="1" xfId="0" quotePrefix="1" applyFont="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7" fillId="0" borderId="1" xfId="0" applyFont="1" applyBorder="1" applyAlignment="1">
      <alignment horizontal="left" vertical="center" wrapText="1"/>
    </xf>
    <xf numFmtId="0" fontId="28" fillId="0" borderId="1" xfId="0" applyFont="1" applyBorder="1" applyAlignment="1">
      <alignment vertical="center" wrapText="1"/>
    </xf>
    <xf numFmtId="0" fontId="23" fillId="0" borderId="1" xfId="0" quotePrefix="1" applyFont="1" applyBorder="1" applyAlignment="1">
      <alignment vertical="center"/>
    </xf>
    <xf numFmtId="0" fontId="28" fillId="0" borderId="1" xfId="0" quotePrefix="1" applyFont="1" applyBorder="1" applyAlignment="1">
      <alignment vertical="center"/>
    </xf>
    <xf numFmtId="0" fontId="26" fillId="0" borderId="1" xfId="0" quotePrefix="1" applyFont="1" applyBorder="1" applyAlignment="1">
      <alignment horizontal="left" vertical="center" wrapText="1"/>
    </xf>
    <xf numFmtId="0" fontId="23" fillId="0" borderId="1" xfId="32" applyFont="1" applyBorder="1" applyAlignment="1">
      <alignment horizontal="justify" vertical="center" wrapText="1"/>
    </xf>
    <xf numFmtId="3" fontId="23" fillId="0" borderId="1" xfId="7" applyNumberFormat="1" applyFont="1" applyFill="1" applyBorder="1" applyAlignment="1">
      <alignment vertical="center"/>
    </xf>
    <xf numFmtId="0" fontId="23" fillId="0" borderId="1" xfId="32" quotePrefix="1" applyFont="1" applyBorder="1" applyAlignment="1">
      <alignment horizontal="justify" vertical="center" wrapText="1"/>
    </xf>
    <xf numFmtId="0" fontId="24" fillId="0" borderId="1" xfId="0" quotePrefix="1" applyFont="1" applyBorder="1" applyAlignment="1">
      <alignment horizontal="center" vertical="center"/>
    </xf>
    <xf numFmtId="0" fontId="24" fillId="0" borderId="1" xfId="32" applyFont="1" applyBorder="1" applyAlignment="1">
      <alignment horizontal="justify" vertical="center" wrapText="1"/>
    </xf>
    <xf numFmtId="3" fontId="24" fillId="0" borderId="1" xfId="7" applyNumberFormat="1" applyFont="1" applyFill="1" applyBorder="1" applyAlignment="1">
      <alignment vertical="center"/>
    </xf>
    <xf numFmtId="3" fontId="67" fillId="0" borderId="1" xfId="7" applyNumberFormat="1" applyFont="1" applyFill="1" applyBorder="1" applyAlignment="1">
      <alignment vertical="center"/>
    </xf>
    <xf numFmtId="3" fontId="63" fillId="0" borderId="1" xfId="0" applyNumberFormat="1" applyFont="1" applyBorder="1" applyAlignment="1">
      <alignment vertical="center"/>
    </xf>
    <xf numFmtId="0" fontId="36" fillId="0" borderId="0" xfId="0" applyFont="1" applyAlignment="1">
      <alignment vertical="center" wrapText="1"/>
    </xf>
    <xf numFmtId="169" fontId="2" fillId="0" borderId="0" xfId="1" applyNumberFormat="1" applyFont="1" applyFill="1" applyBorder="1"/>
    <xf numFmtId="169" fontId="2" fillId="0" borderId="0" xfId="1" applyNumberFormat="1" applyFont="1" applyFill="1"/>
    <xf numFmtId="166" fontId="9" fillId="0" borderId="0" xfId="0" applyNumberFormat="1" applyFont="1"/>
    <xf numFmtId="0" fontId="5" fillId="0" borderId="1" xfId="0" applyFont="1" applyBorder="1" applyAlignment="1">
      <alignment horizontal="center"/>
    </xf>
    <xf numFmtId="0" fontId="2" fillId="0" borderId="1" xfId="0" applyFont="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xf>
    <xf numFmtId="167" fontId="9" fillId="0" borderId="1" xfId="1" applyNumberFormat="1" applyFont="1" applyFill="1" applyBorder="1" applyAlignment="1">
      <alignment vertical="center"/>
    </xf>
    <xf numFmtId="3" fontId="9" fillId="0" borderId="1" xfId="1" applyNumberFormat="1" applyFont="1" applyFill="1" applyBorder="1" applyAlignment="1">
      <alignment vertical="center"/>
    </xf>
    <xf numFmtId="167" fontId="9" fillId="0" borderId="1" xfId="0" applyNumberFormat="1" applyFont="1" applyBorder="1" applyAlignment="1">
      <alignment vertical="center"/>
    </xf>
    <xf numFmtId="0" fontId="2" fillId="0" borderId="1" xfId="0" applyFont="1" applyBorder="1" applyAlignment="1">
      <alignment horizontal="center" vertical="center"/>
    </xf>
    <xf numFmtId="167" fontId="2" fillId="0" borderId="1" xfId="1" applyNumberFormat="1" applyFont="1" applyFill="1" applyBorder="1" applyAlignment="1">
      <alignment vertical="center"/>
    </xf>
    <xf numFmtId="3" fontId="2" fillId="0" borderId="1" xfId="1" applyNumberFormat="1" applyFont="1" applyFill="1" applyBorder="1" applyAlignment="1">
      <alignment vertical="center"/>
    </xf>
    <xf numFmtId="167" fontId="2" fillId="0" borderId="1" xfId="0" applyNumberFormat="1" applyFont="1" applyBorder="1" applyAlignment="1">
      <alignment vertical="center"/>
    </xf>
    <xf numFmtId="0" fontId="2" fillId="0" borderId="1" xfId="0" quotePrefix="1" applyFont="1" applyBorder="1" applyAlignment="1">
      <alignment vertical="center" wrapText="1"/>
    </xf>
    <xf numFmtId="0" fontId="6" fillId="0" borderId="1" xfId="0" applyFont="1" applyBorder="1" applyAlignment="1">
      <alignment horizontal="center" vertical="center"/>
    </xf>
    <xf numFmtId="167" fontId="6" fillId="0" borderId="1" xfId="0" applyNumberFormat="1" applyFont="1" applyBorder="1" applyAlignment="1">
      <alignment horizontal="center" vertical="center"/>
    </xf>
    <xf numFmtId="168"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5" fillId="0" borderId="1" xfId="0" applyFont="1" applyBorder="1" applyAlignment="1">
      <alignment horizontal="center" vertical="center"/>
    </xf>
    <xf numFmtId="167" fontId="5" fillId="0" borderId="1" xfId="1" applyNumberFormat="1" applyFont="1" applyFill="1" applyBorder="1" applyAlignment="1">
      <alignment vertical="center"/>
    </xf>
    <xf numFmtId="3" fontId="5" fillId="0" borderId="1" xfId="1" applyNumberFormat="1" applyFont="1" applyFill="1" applyBorder="1" applyAlignment="1">
      <alignment vertical="center"/>
    </xf>
    <xf numFmtId="0" fontId="2" fillId="0" borderId="1" xfId="0" quotePrefix="1" applyFont="1" applyBorder="1" applyAlignment="1">
      <alignment horizontal="center" vertical="center"/>
    </xf>
    <xf numFmtId="167" fontId="2" fillId="2" borderId="1" xfId="0" applyNumberFormat="1" applyFont="1" applyFill="1" applyBorder="1" applyAlignment="1">
      <alignment vertical="center"/>
    </xf>
    <xf numFmtId="0" fontId="6" fillId="0" borderId="1" xfId="0" applyFont="1" applyBorder="1" applyAlignment="1">
      <alignment vertical="center"/>
    </xf>
    <xf numFmtId="167" fontId="6" fillId="0" borderId="1" xfId="1" applyNumberFormat="1" applyFont="1" applyFill="1" applyBorder="1" applyAlignment="1">
      <alignment vertical="center"/>
    </xf>
    <xf numFmtId="3" fontId="6" fillId="0" borderId="1" xfId="1" applyNumberFormat="1" applyFont="1" applyFill="1" applyBorder="1" applyAlignment="1">
      <alignment vertical="center"/>
    </xf>
    <xf numFmtId="3" fontId="6" fillId="0" borderId="1" xfId="1" applyNumberFormat="1" applyFont="1" applyFill="1" applyBorder="1" applyAlignment="1">
      <alignment horizontal="right" vertical="center"/>
    </xf>
    <xf numFmtId="0" fontId="6" fillId="0" borderId="1" xfId="0" quotePrefix="1" applyFont="1" applyBorder="1" applyAlignment="1">
      <alignment vertical="center"/>
    </xf>
    <xf numFmtId="0" fontId="2" fillId="0" borderId="1" xfId="0" applyFont="1" applyBorder="1" applyAlignment="1">
      <alignment horizontal="left" vertical="center"/>
    </xf>
    <xf numFmtId="0" fontId="5" fillId="0" borderId="1" xfId="0" applyFont="1" applyBorder="1" applyAlignment="1">
      <alignment vertical="center"/>
    </xf>
    <xf numFmtId="0" fontId="2" fillId="0" borderId="1" xfId="0" quotePrefix="1" applyFont="1" applyBorder="1" applyAlignment="1">
      <alignment vertical="center"/>
    </xf>
    <xf numFmtId="167" fontId="5" fillId="0" borderId="1" xfId="0" applyNumberFormat="1" applyFont="1" applyBorder="1" applyAlignment="1">
      <alignment vertical="center"/>
    </xf>
    <xf numFmtId="0" fontId="12" fillId="5" borderId="0" xfId="0" applyFont="1" applyFill="1" applyAlignment="1">
      <alignment horizontal="center" vertical="center"/>
    </xf>
    <xf numFmtId="0" fontId="14" fillId="5" borderId="0" xfId="0" applyFont="1" applyFill="1" applyAlignment="1">
      <alignment horizontal="center" vertical="center"/>
    </xf>
    <xf numFmtId="172" fontId="12" fillId="5" borderId="0" xfId="1" applyNumberFormat="1" applyFont="1" applyFill="1" applyAlignment="1">
      <alignment horizontal="center" vertical="center"/>
    </xf>
    <xf numFmtId="172" fontId="12" fillId="5" borderId="0" xfId="0" applyNumberFormat="1" applyFont="1" applyFill="1" applyAlignment="1">
      <alignment vertical="center"/>
    </xf>
    <xf numFmtId="0" fontId="14" fillId="5" borderId="0" xfId="0" applyFont="1" applyFill="1" applyAlignment="1">
      <alignment vertical="center"/>
    </xf>
    <xf numFmtId="0" fontId="12" fillId="5" borderId="0" xfId="0" applyFont="1" applyFill="1" applyAlignment="1">
      <alignment vertical="center"/>
    </xf>
    <xf numFmtId="172" fontId="12" fillId="5" borderId="0" xfId="1" applyNumberFormat="1" applyFont="1" applyFill="1" applyAlignment="1">
      <alignment vertical="center"/>
    </xf>
    <xf numFmtId="172" fontId="14" fillId="5" borderId="0" xfId="1" applyNumberFormat="1" applyFont="1" applyFill="1" applyAlignment="1">
      <alignment vertical="center"/>
    </xf>
    <xf numFmtId="172" fontId="14" fillId="5" borderId="0" xfId="0" applyNumberFormat="1" applyFont="1" applyFill="1" applyAlignment="1">
      <alignment vertical="center"/>
    </xf>
    <xf numFmtId="172" fontId="12" fillId="5" borderId="1" xfId="0" applyNumberFormat="1" applyFont="1" applyFill="1" applyBorder="1" applyAlignment="1">
      <alignment horizontal="center" vertical="center" wrapText="1"/>
    </xf>
    <xf numFmtId="0" fontId="73" fillId="5" borderId="0" xfId="0" applyFont="1" applyFill="1" applyAlignment="1">
      <alignment vertical="center"/>
    </xf>
    <xf numFmtId="172" fontId="12" fillId="5" borderId="1" xfId="1" applyNumberFormat="1" applyFont="1" applyFill="1" applyBorder="1" applyAlignment="1">
      <alignment horizontal="center" vertical="center" wrapText="1"/>
    </xf>
    <xf numFmtId="166" fontId="14" fillId="5" borderId="0" xfId="1" applyNumberFormat="1" applyFont="1" applyFill="1" applyAlignment="1">
      <alignment vertical="center"/>
    </xf>
    <xf numFmtId="166" fontId="12" fillId="5" borderId="1" xfId="1" applyNumberFormat="1" applyFont="1" applyFill="1" applyBorder="1" applyAlignment="1">
      <alignment horizontal="center" vertical="center" wrapText="1"/>
    </xf>
    <xf numFmtId="172" fontId="12" fillId="5" borderId="1" xfId="1" quotePrefix="1" applyNumberFormat="1" applyFont="1" applyFill="1" applyBorder="1" applyAlignment="1">
      <alignment horizontal="center" vertical="center" wrapText="1"/>
    </xf>
    <xf numFmtId="165" fontId="12" fillId="5" borderId="1" xfId="1" applyNumberFormat="1" applyFont="1" applyFill="1" applyBorder="1" applyAlignment="1">
      <alignment horizontal="center" vertical="center" wrapText="1"/>
    </xf>
    <xf numFmtId="166" fontId="12" fillId="5" borderId="0" xfId="1" applyNumberFormat="1" applyFont="1" applyFill="1" applyAlignment="1">
      <alignment vertical="center"/>
    </xf>
    <xf numFmtId="0" fontId="14" fillId="5" borderId="1" xfId="0" quotePrefix="1" applyFont="1" applyFill="1" applyBorder="1" applyAlignment="1">
      <alignment horizontal="center" vertical="center" shrinkToFit="1"/>
    </xf>
    <xf numFmtId="166" fontId="14" fillId="5" borderId="1" xfId="1" applyNumberFormat="1" applyFont="1" applyFill="1" applyBorder="1" applyAlignment="1">
      <alignment horizontal="center" vertical="center" wrapText="1"/>
    </xf>
    <xf numFmtId="166" fontId="14"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72" fontId="14" fillId="5" borderId="1" xfId="1" applyNumberFormat="1" applyFont="1" applyFill="1" applyBorder="1" applyAlignment="1">
      <alignment horizontal="center" vertical="center" wrapText="1"/>
    </xf>
    <xf numFmtId="172" fontId="14" fillId="5" borderId="1" xfId="1" quotePrefix="1" applyNumberFormat="1" applyFont="1" applyFill="1" applyBorder="1" applyAlignment="1">
      <alignment horizontal="center" vertical="center" wrapText="1"/>
    </xf>
    <xf numFmtId="165" fontId="14" fillId="5" borderId="1" xfId="1" applyNumberFormat="1" applyFont="1" applyFill="1" applyBorder="1" applyAlignment="1">
      <alignment horizontal="center" vertical="center" wrapText="1"/>
    </xf>
    <xf numFmtId="0" fontId="14" fillId="5" borderId="1" xfId="0" applyFont="1" applyFill="1" applyBorder="1" applyAlignment="1">
      <alignment vertical="center" wrapText="1" shrinkToFit="1"/>
    </xf>
    <xf numFmtId="166" fontId="12" fillId="5" borderId="1" xfId="1" quotePrefix="1" applyNumberFormat="1" applyFont="1" applyFill="1" applyBorder="1" applyAlignment="1">
      <alignment horizontal="center" vertical="center" shrinkToFit="1"/>
    </xf>
    <xf numFmtId="166" fontId="12" fillId="5" borderId="1" xfId="1" applyNumberFormat="1" applyFont="1" applyFill="1" applyBorder="1" applyAlignment="1">
      <alignment vertical="center" shrinkToFit="1"/>
    </xf>
    <xf numFmtId="172" fontId="14" fillId="5" borderId="1" xfId="0" quotePrefix="1" applyNumberFormat="1" applyFont="1" applyFill="1" applyBorder="1" applyAlignment="1">
      <alignment horizontal="center" vertical="center" wrapText="1"/>
    </xf>
    <xf numFmtId="0" fontId="12" fillId="5" borderId="1" xfId="0" quotePrefix="1" applyFont="1" applyFill="1" applyBorder="1" applyAlignment="1">
      <alignment horizontal="center" vertical="center" shrinkToFit="1"/>
    </xf>
    <xf numFmtId="0" fontId="12" fillId="5" borderId="1" xfId="0" applyFont="1" applyFill="1" applyBorder="1" applyAlignment="1">
      <alignment vertical="center" shrinkToFit="1"/>
    </xf>
    <xf numFmtId="166"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72" fontId="12" fillId="5" borderId="1" xfId="0" quotePrefix="1" applyNumberFormat="1" applyFont="1" applyFill="1" applyBorder="1" applyAlignment="1">
      <alignment horizontal="center" vertical="center" wrapText="1"/>
    </xf>
    <xf numFmtId="0" fontId="74" fillId="0" borderId="1" xfId="0" applyFont="1" applyBorder="1" applyAlignment="1">
      <alignment vertical="center"/>
    </xf>
    <xf numFmtId="172" fontId="12" fillId="0" borderId="1" xfId="1" applyNumberFormat="1" applyFont="1" applyFill="1" applyBorder="1" applyAlignment="1">
      <alignment horizontal="center" vertical="center" wrapText="1"/>
    </xf>
    <xf numFmtId="172" fontId="12" fillId="0" borderId="1" xfId="1" quotePrefix="1" applyNumberFormat="1" applyFont="1" applyFill="1" applyBorder="1" applyAlignment="1">
      <alignment horizontal="center" vertical="center" wrapText="1"/>
    </xf>
    <xf numFmtId="172" fontId="12" fillId="0" borderId="1" xfId="0" quotePrefix="1" applyNumberFormat="1" applyFont="1" applyBorder="1" applyAlignment="1">
      <alignment horizontal="center" vertical="center" wrapText="1"/>
    </xf>
    <xf numFmtId="0" fontId="14" fillId="5" borderId="0" xfId="0" quotePrefix="1" applyFont="1" applyFill="1" applyAlignment="1">
      <alignment horizontal="center" vertical="center" shrinkToFit="1"/>
    </xf>
    <xf numFmtId="0" fontId="14" fillId="5" borderId="0" xfId="0" applyFont="1" applyFill="1" applyAlignment="1">
      <alignment vertical="center" shrinkToFit="1"/>
    </xf>
    <xf numFmtId="166" fontId="14" fillId="5" borderId="0" xfId="1" applyNumberFormat="1" applyFont="1" applyFill="1" applyBorder="1" applyAlignment="1">
      <alignment horizontal="center" vertical="center" wrapText="1"/>
    </xf>
    <xf numFmtId="166" fontId="14" fillId="5" borderId="0" xfId="0" applyNumberFormat="1" applyFont="1" applyFill="1" applyAlignment="1">
      <alignment horizontal="center" vertical="center" wrapText="1"/>
    </xf>
    <xf numFmtId="0" fontId="14" fillId="5" borderId="0" xfId="0" applyFont="1" applyFill="1" applyAlignment="1">
      <alignment horizontal="center" vertical="center" wrapText="1"/>
    </xf>
    <xf numFmtId="172" fontId="14" fillId="5" borderId="0" xfId="1" applyNumberFormat="1" applyFont="1" applyFill="1" applyBorder="1" applyAlignment="1">
      <alignment horizontal="center" vertical="center" wrapText="1"/>
    </xf>
    <xf numFmtId="172" fontId="14" fillId="5" borderId="0" xfId="1" quotePrefix="1" applyNumberFormat="1" applyFont="1" applyFill="1" applyBorder="1" applyAlignment="1">
      <alignment horizontal="center" vertical="center" wrapText="1"/>
    </xf>
    <xf numFmtId="172" fontId="14" fillId="5" borderId="0" xfId="0" quotePrefix="1" applyNumberFormat="1" applyFont="1" applyFill="1" applyAlignment="1">
      <alignment horizontal="center" vertical="center" wrapText="1"/>
    </xf>
    <xf numFmtId="0" fontId="14" fillId="5" borderId="0" xfId="0" quotePrefix="1" applyFont="1" applyFill="1" applyAlignment="1">
      <alignment vertical="center"/>
    </xf>
    <xf numFmtId="0" fontId="15" fillId="5" borderId="0" xfId="0" applyFont="1" applyFill="1" applyAlignment="1">
      <alignment vertical="center"/>
    </xf>
    <xf numFmtId="172" fontId="73" fillId="5" borderId="1" xfId="1" quotePrefix="1" applyNumberFormat="1" applyFont="1" applyFill="1" applyBorder="1" applyAlignment="1">
      <alignment horizontal="center" vertical="center" wrapText="1"/>
    </xf>
    <xf numFmtId="0" fontId="26" fillId="0" borderId="1" xfId="0" quotePrefix="1" applyFont="1" applyBorder="1" applyAlignment="1">
      <alignment vertical="center" wrapText="1"/>
    </xf>
    <xf numFmtId="0" fontId="73" fillId="5" borderId="1" xfId="0" applyFont="1" applyFill="1" applyBorder="1" applyAlignment="1">
      <alignment vertical="center" wrapText="1"/>
    </xf>
    <xf numFmtId="166" fontId="73" fillId="5" borderId="1" xfId="1" applyNumberFormat="1" applyFont="1" applyFill="1" applyBorder="1" applyAlignment="1">
      <alignment vertical="center" wrapText="1"/>
    </xf>
    <xf numFmtId="167" fontId="2" fillId="0" borderId="1" xfId="0" applyNumberFormat="1" applyFont="1" applyBorder="1" applyAlignment="1">
      <alignment vertical="center" wrapText="1"/>
    </xf>
    <xf numFmtId="172" fontId="73" fillId="5" borderId="1" xfId="1" applyNumberFormat="1" applyFont="1" applyFill="1" applyBorder="1" applyAlignment="1">
      <alignment vertical="center" wrapText="1"/>
    </xf>
    <xf numFmtId="172" fontId="73" fillId="5" borderId="1" xfId="1" quotePrefix="1" applyNumberFormat="1" applyFont="1" applyFill="1" applyBorder="1" applyAlignment="1">
      <alignment vertical="center" wrapText="1"/>
    </xf>
    <xf numFmtId="0" fontId="75" fillId="0" borderId="0" xfId="0" applyFont="1"/>
    <xf numFmtId="0" fontId="9" fillId="0" borderId="1" xfId="0" applyFont="1" applyBorder="1" applyAlignment="1">
      <alignment horizontal="center" vertical="center" wrapText="1"/>
    </xf>
    <xf numFmtId="0" fontId="76" fillId="0" borderId="0" xfId="0" applyFont="1" applyAlignment="1">
      <alignment horizontal="center"/>
    </xf>
    <xf numFmtId="165" fontId="12" fillId="0" borderId="1" xfId="1" applyNumberFormat="1" applyFont="1" applyBorder="1" applyAlignment="1">
      <alignment vertical="center" wrapText="1"/>
    </xf>
    <xf numFmtId="165" fontId="75" fillId="0" borderId="0" xfId="0" applyNumberFormat="1" applyFont="1"/>
    <xf numFmtId="165" fontId="14" fillId="0" borderId="1" xfId="1" applyNumberFormat="1" applyFont="1" applyBorder="1" applyAlignment="1">
      <alignment vertical="center" wrapText="1"/>
    </xf>
    <xf numFmtId="165" fontId="75" fillId="0" borderId="0" xfId="1" applyNumberFormat="1" applyFont="1"/>
    <xf numFmtId="0" fontId="14" fillId="0" borderId="1" xfId="0" applyFont="1" applyBorder="1" applyAlignment="1">
      <alignment vertical="center"/>
    </xf>
    <xf numFmtId="164" fontId="14" fillId="0" borderId="1" xfId="1" applyFont="1" applyBorder="1" applyAlignment="1">
      <alignment vertical="center"/>
    </xf>
    <xf numFmtId="165" fontId="14" fillId="0" borderId="1" xfId="0" applyNumberFormat="1" applyFont="1" applyBorder="1" applyAlignment="1">
      <alignment vertical="center"/>
    </xf>
    <xf numFmtId="3" fontId="14" fillId="0" borderId="1" xfId="0" applyNumberFormat="1" applyFont="1" applyBorder="1" applyAlignment="1">
      <alignment vertical="center"/>
    </xf>
    <xf numFmtId="0" fontId="51" fillId="0" borderId="4" xfId="0" applyFont="1" applyBorder="1" applyAlignment="1">
      <alignment horizontal="left" vertical="center" wrapText="1"/>
    </xf>
    <xf numFmtId="0" fontId="51" fillId="0" borderId="3" xfId="0" applyFont="1" applyBorder="1" applyAlignment="1">
      <alignment horizontal="left" vertical="center" wrapText="1"/>
    </xf>
    <xf numFmtId="0" fontId="48" fillId="0" borderId="18" xfId="0" applyFont="1" applyBorder="1" applyAlignment="1">
      <alignment horizontal="center" vertical="center" wrapText="1"/>
    </xf>
    <xf numFmtId="0" fontId="48" fillId="0" borderId="0" xfId="0" applyFont="1" applyAlignment="1">
      <alignment horizontal="center" vertical="center"/>
    </xf>
    <xf numFmtId="0" fontId="51" fillId="0" borderId="19" xfId="0" applyFont="1" applyBorder="1" applyAlignment="1">
      <alignment horizontal="left" vertical="center" wrapText="1"/>
    </xf>
    <xf numFmtId="0" fontId="1" fillId="0" borderId="0" xfId="0" applyFont="1" applyAlignment="1">
      <alignment horizontal="righ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8" fillId="0" borderId="0" xfId="0" applyFont="1" applyAlignment="1">
      <alignment horizontal="right" vertical="center" wrapText="1"/>
    </xf>
    <xf numFmtId="0" fontId="69" fillId="0" borderId="0" xfId="0" applyFont="1" applyAlignment="1">
      <alignment horizontal="center" vertical="center" wrapText="1"/>
    </xf>
    <xf numFmtId="0" fontId="44" fillId="0" borderId="0" xfId="0" applyFont="1" applyAlignment="1">
      <alignment horizontal="center" vertical="center" wrapText="1"/>
    </xf>
    <xf numFmtId="0" fontId="46" fillId="0" borderId="0" xfId="0" applyFont="1" applyAlignment="1">
      <alignment horizontal="center" vertical="center" wrapText="1"/>
    </xf>
    <xf numFmtId="0" fontId="44"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center" vertical="center"/>
    </xf>
    <xf numFmtId="0" fontId="9" fillId="0" borderId="0" xfId="0" applyFont="1" applyAlignment="1">
      <alignment horizontal="left" vertical="center" wrapText="1"/>
    </xf>
    <xf numFmtId="0" fontId="13" fillId="0" borderId="0" xfId="0" applyFont="1" applyAlignment="1">
      <alignment horizontal="left" vertical="center" wrapText="1"/>
    </xf>
    <xf numFmtId="166" fontId="2" fillId="3"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3" fillId="0" borderId="0" xfId="0" applyFont="1" applyAlignment="1">
      <alignment horizontal="center" vertical="center" wrapText="1"/>
    </xf>
    <xf numFmtId="43" fontId="2" fillId="3" borderId="4" xfId="1" applyNumberFormat="1" applyFont="1" applyFill="1" applyBorder="1" applyAlignment="1">
      <alignment horizontal="center" vertical="center" wrapText="1"/>
    </xf>
    <xf numFmtId="43" fontId="2" fillId="3" borderId="3" xfId="1" applyNumberFormat="1" applyFont="1" applyFill="1" applyBorder="1" applyAlignment="1">
      <alignment horizontal="center" vertical="center" wrapText="1"/>
    </xf>
    <xf numFmtId="43" fontId="2" fillId="3" borderId="1" xfId="1" applyNumberFormat="1" applyFont="1" applyFill="1" applyBorder="1" applyAlignment="1">
      <alignment horizontal="center" vertical="center" wrapText="1"/>
    </xf>
    <xf numFmtId="0" fontId="12" fillId="0" borderId="0" xfId="0" applyFont="1" applyAlignment="1">
      <alignment horizontal="center" vertical="center" wrapText="1"/>
    </xf>
    <xf numFmtId="0" fontId="9" fillId="0" borderId="20" xfId="0" applyFont="1" applyBorder="1" applyAlignment="1">
      <alignment horizontal="left" vertical="center" wrapText="1"/>
    </xf>
    <xf numFmtId="0" fontId="46" fillId="0" borderId="0" xfId="0" applyFont="1" applyAlignment="1">
      <alignment horizontal="left" vertical="center" wrapText="1"/>
    </xf>
    <xf numFmtId="0" fontId="22" fillId="0" borderId="0" xfId="0" applyFont="1" applyAlignment="1">
      <alignment horizontal="left" vertical="center" wrapText="1"/>
    </xf>
    <xf numFmtId="0" fontId="64"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51" fillId="0" borderId="1" xfId="0" applyFont="1" applyBorder="1" applyAlignment="1">
      <alignment horizontal="center" vertical="center" wrapText="1"/>
    </xf>
    <xf numFmtId="0" fontId="70" fillId="0" borderId="0" xfId="0" applyFont="1" applyAlignment="1">
      <alignment horizontal="center" vertical="center" wrapText="1"/>
    </xf>
    <xf numFmtId="0" fontId="50" fillId="0" borderId="0" xfId="0" applyFont="1" applyAlignment="1">
      <alignment horizontal="left" vertical="center" wrapText="1"/>
    </xf>
    <xf numFmtId="0" fontId="49" fillId="0" borderId="0" xfId="0" applyFont="1" applyAlignment="1">
      <alignment horizontal="left" vertical="center" wrapText="1"/>
    </xf>
    <xf numFmtId="0" fontId="48" fillId="0" borderId="0" xfId="0" applyFont="1" applyAlignment="1">
      <alignment horizontal="center" vertical="center" wrapText="1"/>
    </xf>
    <xf numFmtId="0" fontId="48" fillId="0" borderId="1" xfId="0" applyFont="1" applyBorder="1" applyAlignment="1">
      <alignment horizontal="center" vertical="center" wrapText="1"/>
    </xf>
    <xf numFmtId="0" fontId="49" fillId="0" borderId="0" xfId="0" applyFont="1" applyAlignment="1">
      <alignment horizontal="left" vertical="center"/>
    </xf>
    <xf numFmtId="0" fontId="70" fillId="0" borderId="0" xfId="0" applyFont="1" applyAlignment="1">
      <alignment horizontal="center" vertical="center"/>
    </xf>
    <xf numFmtId="0" fontId="48" fillId="0" borderId="4"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3"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3" xfId="0" applyFont="1" applyBorder="1" applyAlignment="1">
      <alignment horizontal="center" vertical="center" wrapText="1"/>
    </xf>
    <xf numFmtId="0" fontId="48" fillId="0" borderId="2" xfId="0" applyFont="1" applyBorder="1" applyAlignment="1">
      <alignment horizontal="center" vertical="center" wrapText="1"/>
    </xf>
    <xf numFmtId="0" fontId="0" fillId="0" borderId="21" xfId="0" applyBorder="1"/>
    <xf numFmtId="0" fontId="0" fillId="0" borderId="17" xfId="0" applyBorder="1"/>
    <xf numFmtId="0" fontId="49" fillId="0" borderId="18" xfId="0" applyFont="1" applyBorder="1" applyAlignment="1">
      <alignment horizontal="center" vertical="center"/>
    </xf>
    <xf numFmtId="0" fontId="36" fillId="0" borderId="0" xfId="0" applyFont="1" applyAlignment="1">
      <alignment horizontal="center" vertical="center" wrapText="1"/>
    </xf>
    <xf numFmtId="0" fontId="24" fillId="0" borderId="0" xfId="0" applyFont="1" applyAlignment="1">
      <alignment horizontal="right"/>
    </xf>
    <xf numFmtId="0" fontId="21" fillId="0" borderId="0" xfId="0" applyFont="1" applyAlignment="1">
      <alignment horizontal="center" wrapText="1"/>
    </xf>
    <xf numFmtId="0" fontId="24" fillId="0" borderId="0" xfId="0" applyFont="1" applyAlignment="1">
      <alignment horizontal="center"/>
    </xf>
    <xf numFmtId="0" fontId="25" fillId="0" borderId="18" xfId="0" applyFont="1" applyBorder="1" applyAlignment="1">
      <alignment horizontal="right"/>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6" fillId="0" borderId="1" xfId="0" applyFont="1" applyBorder="1" applyAlignment="1">
      <alignment horizontal="center" vertical="center" wrapText="1"/>
    </xf>
    <xf numFmtId="167" fontId="5" fillId="0" borderId="1" xfId="0" applyNumberFormat="1" applyFont="1" applyBorder="1" applyAlignment="1">
      <alignment horizontal="center" vertical="center" wrapText="1"/>
    </xf>
    <xf numFmtId="168" fontId="5" fillId="0" borderId="1" xfId="0" applyNumberFormat="1" applyFont="1" applyBorder="1" applyAlignment="1">
      <alignment horizontal="center" vertical="center" wrapText="1"/>
    </xf>
    <xf numFmtId="168"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wrapText="1"/>
    </xf>
    <xf numFmtId="0" fontId="12" fillId="0" borderId="0" xfId="0" applyFont="1" applyAlignment="1">
      <alignment horizontal="center"/>
    </xf>
    <xf numFmtId="0" fontId="3" fillId="0" borderId="0" xfId="0" applyFont="1" applyAlignment="1">
      <alignment horizontal="center"/>
    </xf>
    <xf numFmtId="0" fontId="6" fillId="0" borderId="18" xfId="0" applyFont="1" applyBorder="1" applyAlignment="1">
      <alignment horizontal="right"/>
    </xf>
    <xf numFmtId="172" fontId="12" fillId="5" borderId="1" xfId="1" applyNumberFormat="1" applyFont="1" applyFill="1" applyBorder="1" applyAlignment="1">
      <alignment horizontal="center" vertical="center" wrapText="1"/>
    </xf>
    <xf numFmtId="166" fontId="12" fillId="5" borderId="1" xfId="1" applyNumberFormat="1" applyFont="1" applyFill="1" applyBorder="1" applyAlignment="1">
      <alignment horizontal="center" vertical="center" wrapText="1"/>
    </xf>
    <xf numFmtId="9"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72" fontId="12" fillId="5" borderId="1" xfId="0" applyNumberFormat="1" applyFont="1" applyFill="1" applyBorder="1" applyAlignment="1">
      <alignment horizontal="center" vertical="center" wrapText="1"/>
    </xf>
    <xf numFmtId="172" fontId="13" fillId="5" borderId="18" xfId="0" applyNumberFormat="1" applyFont="1" applyFill="1" applyBorder="1" applyAlignment="1">
      <alignment horizontal="center" vertical="center"/>
    </xf>
    <xf numFmtId="0" fontId="14" fillId="5" borderId="0" xfId="0" applyFont="1" applyFill="1" applyAlignment="1">
      <alignment horizontal="center" vertical="center"/>
    </xf>
    <xf numFmtId="172" fontId="12" fillId="0" borderId="0" xfId="0" applyNumberFormat="1" applyFont="1" applyAlignment="1">
      <alignment horizontal="center"/>
    </xf>
    <xf numFmtId="0" fontId="12" fillId="5" borderId="0" xfId="0" applyFont="1" applyFill="1" applyAlignment="1">
      <alignment horizontal="center" vertical="center"/>
    </xf>
    <xf numFmtId="0" fontId="13" fillId="5" borderId="0" xfId="0" applyFont="1" applyFill="1" applyAlignment="1">
      <alignment horizontal="center" vertical="center"/>
    </xf>
    <xf numFmtId="0" fontId="12"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xf>
    <xf numFmtId="0" fontId="13" fillId="0" borderId="18" xfId="0" applyFont="1" applyBorder="1" applyAlignment="1">
      <alignment horizontal="center" vertical="center"/>
    </xf>
    <xf numFmtId="0" fontId="12" fillId="0" borderId="1" xfId="0" applyFont="1" applyBorder="1" applyAlignment="1">
      <alignment horizontal="center" wrapText="1"/>
    </xf>
    <xf numFmtId="0" fontId="12" fillId="0" borderId="1" xfId="0" applyFont="1" applyBorder="1" applyAlignment="1">
      <alignment horizontal="center"/>
    </xf>
    <xf numFmtId="0" fontId="12" fillId="0" borderId="19" xfId="0" applyFont="1" applyBorder="1" applyAlignment="1">
      <alignment horizontal="center" vertical="center"/>
    </xf>
    <xf numFmtId="0" fontId="12" fillId="0" borderId="3" xfId="0" applyFont="1" applyBorder="1" applyAlignment="1">
      <alignment horizontal="center" vertical="center"/>
    </xf>
    <xf numFmtId="0" fontId="12" fillId="0" borderId="24" xfId="0" applyFont="1" applyBorder="1" applyAlignment="1">
      <alignment horizontal="center" vertical="center" wrapText="1"/>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4" fillId="0" borderId="19" xfId="0" applyFont="1" applyBorder="1" applyAlignment="1">
      <alignment horizontal="center" vertical="center" wrapText="1"/>
    </xf>
    <xf numFmtId="0" fontId="13" fillId="0" borderId="18" xfId="0" applyFont="1" applyBorder="1" applyAlignment="1">
      <alignment horizontal="right"/>
    </xf>
    <xf numFmtId="0" fontId="14" fillId="0" borderId="19" xfId="0" applyFont="1" applyBorder="1" applyAlignment="1">
      <alignment vertical="center"/>
    </xf>
    <xf numFmtId="0" fontId="12" fillId="0" borderId="0" xfId="0" applyFont="1" applyAlignment="1">
      <alignment horizontal="right"/>
    </xf>
    <xf numFmtId="0" fontId="0" fillId="0" borderId="0" xfId="0" applyAlignment="1">
      <alignment horizontal="center" vertical="center" wrapText="1"/>
    </xf>
    <xf numFmtId="0" fontId="50" fillId="0" borderId="20" xfId="0" applyFont="1" applyBorder="1" applyAlignment="1">
      <alignment horizontal="left" vertical="center" wrapText="1"/>
    </xf>
    <xf numFmtId="166" fontId="12" fillId="0" borderId="1" xfId="26" applyNumberFormat="1" applyFont="1" applyBorder="1" applyAlignment="1">
      <alignment horizontal="center" vertical="center" wrapText="1"/>
    </xf>
    <xf numFmtId="173" fontId="12" fillId="0" borderId="1" xfId="26" applyNumberFormat="1" applyFont="1" applyBorder="1" applyAlignment="1">
      <alignment horizontal="center" vertical="center" wrapText="1"/>
    </xf>
    <xf numFmtId="3" fontId="12" fillId="0" borderId="2" xfId="26" applyNumberFormat="1" applyFont="1" applyBorder="1" applyAlignment="1">
      <alignment horizontal="center" vertical="center" wrapText="1"/>
    </xf>
    <xf numFmtId="3" fontId="12" fillId="0" borderId="21" xfId="26" applyNumberFormat="1" applyFont="1" applyBorder="1" applyAlignment="1">
      <alignment horizontal="center" vertical="center" wrapText="1"/>
    </xf>
    <xf numFmtId="3" fontId="12" fillId="0" borderId="17" xfId="26" applyNumberFormat="1" applyFont="1" applyBorder="1" applyAlignment="1">
      <alignment horizontal="center" vertical="center" wrapText="1"/>
    </xf>
    <xf numFmtId="173" fontId="12" fillId="0" borderId="4" xfId="26" applyNumberFormat="1" applyFont="1" applyBorder="1" applyAlignment="1">
      <alignment horizontal="center" vertical="center" wrapText="1"/>
    </xf>
    <xf numFmtId="173" fontId="12" fillId="0" borderId="19" xfId="26" applyNumberFormat="1" applyFont="1" applyBorder="1" applyAlignment="1">
      <alignment horizontal="center" vertical="center" wrapText="1"/>
    </xf>
    <xf numFmtId="173" fontId="12" fillId="0" borderId="3" xfId="26" applyNumberFormat="1" applyFont="1" applyBorder="1" applyAlignment="1">
      <alignment horizontal="center" vertical="center" wrapText="1"/>
    </xf>
    <xf numFmtId="3" fontId="12" fillId="0" borderId="24" xfId="26" applyNumberFormat="1" applyFont="1" applyBorder="1" applyAlignment="1">
      <alignment horizontal="center" vertical="center" wrapText="1"/>
    </xf>
    <xf numFmtId="3" fontId="12" fillId="0" borderId="20" xfId="26" applyNumberFormat="1" applyFont="1" applyBorder="1" applyAlignment="1">
      <alignment horizontal="center" vertical="center" wrapText="1"/>
    </xf>
    <xf numFmtId="3" fontId="12" fillId="0" borderId="22" xfId="26" applyNumberFormat="1" applyFont="1" applyBorder="1" applyAlignment="1">
      <alignment horizontal="center" vertical="center" wrapText="1"/>
    </xf>
    <xf numFmtId="3" fontId="12" fillId="0" borderId="25" xfId="26" applyNumberFormat="1" applyFont="1" applyBorder="1" applyAlignment="1">
      <alignment horizontal="center" vertical="center" wrapText="1"/>
    </xf>
    <xf numFmtId="3" fontId="12" fillId="0" borderId="18" xfId="26" applyNumberFormat="1" applyFont="1" applyBorder="1" applyAlignment="1">
      <alignment horizontal="center" vertical="center" wrapText="1"/>
    </xf>
    <xf numFmtId="3" fontId="12" fillId="0" borderId="23" xfId="26" applyNumberFormat="1" applyFont="1" applyBorder="1" applyAlignment="1">
      <alignment horizontal="center" vertical="center" wrapText="1"/>
    </xf>
    <xf numFmtId="49" fontId="12" fillId="0" borderId="1" xfId="26" applyNumberFormat="1" applyFont="1" applyBorder="1" applyAlignment="1">
      <alignment horizontal="center" vertical="center" wrapText="1"/>
    </xf>
    <xf numFmtId="3" fontId="12" fillId="0" borderId="1" xfId="26" applyNumberFormat="1" applyFont="1" applyBorder="1" applyAlignment="1">
      <alignment horizontal="center" wrapText="1"/>
    </xf>
    <xf numFmtId="1" fontId="12" fillId="0" borderId="0" xfId="26" applyNumberFormat="1" applyFont="1" applyAlignment="1">
      <alignment horizontal="center" vertical="center" wrapText="1"/>
    </xf>
    <xf numFmtId="1" fontId="13" fillId="0" borderId="0" xfId="26" applyNumberFormat="1" applyFont="1" applyAlignment="1">
      <alignment horizontal="center" vertical="center" wrapText="1"/>
    </xf>
    <xf numFmtId="1" fontId="13" fillId="0" borderId="18" xfId="26" applyNumberFormat="1" applyFont="1" applyBorder="1" applyAlignment="1">
      <alignment horizontal="right" vertical="center" wrapText="1"/>
    </xf>
    <xf numFmtId="3" fontId="12" fillId="0" borderId="1" xfId="26" applyNumberFormat="1" applyFont="1" applyBorder="1" applyAlignment="1">
      <alignment horizontal="center" vertical="center" wrapText="1"/>
    </xf>
    <xf numFmtId="1" fontId="12" fillId="0" borderId="1" xfId="26" applyNumberFormat="1" applyFont="1" applyBorder="1" applyAlignment="1">
      <alignment horizontal="center" vertical="center" wrapText="1"/>
    </xf>
    <xf numFmtId="173" fontId="12" fillId="0" borderId="24" xfId="26" applyNumberFormat="1" applyFont="1" applyBorder="1" applyAlignment="1">
      <alignment horizontal="center" vertical="center" wrapText="1"/>
    </xf>
    <xf numFmtId="173" fontId="12" fillId="0" borderId="20" xfId="26" applyNumberFormat="1" applyFont="1" applyBorder="1" applyAlignment="1">
      <alignment horizontal="center" vertical="center" wrapText="1"/>
    </xf>
    <xf numFmtId="173" fontId="12" fillId="0" borderId="22" xfId="26" applyNumberFormat="1" applyFont="1" applyBorder="1" applyAlignment="1">
      <alignment horizontal="center" vertical="center" wrapText="1"/>
    </xf>
    <xf numFmtId="173" fontId="12" fillId="0" borderId="25" xfId="26" applyNumberFormat="1" applyFont="1" applyBorder="1" applyAlignment="1">
      <alignment horizontal="center" vertical="center" wrapText="1"/>
    </xf>
    <xf numFmtId="173" fontId="12" fillId="0" borderId="18" xfId="26" applyNumberFormat="1" applyFont="1" applyBorder="1" applyAlignment="1">
      <alignment horizontal="center" vertical="center" wrapText="1"/>
    </xf>
    <xf numFmtId="173" fontId="12" fillId="0" borderId="23" xfId="26" applyNumberFormat="1" applyFont="1" applyBorder="1" applyAlignment="1">
      <alignment horizontal="center" vertical="center" wrapText="1"/>
    </xf>
    <xf numFmtId="3" fontId="13" fillId="0" borderId="1" xfId="26" applyNumberFormat="1" applyFont="1" applyBorder="1" applyAlignment="1">
      <alignment horizontal="center" vertical="center" wrapText="1"/>
    </xf>
    <xf numFmtId="173" fontId="13" fillId="0" borderId="2" xfId="26" applyNumberFormat="1" applyFont="1" applyBorder="1" applyAlignment="1">
      <alignment horizontal="center" vertical="center" wrapText="1"/>
    </xf>
    <xf numFmtId="173" fontId="13" fillId="0" borderId="21" xfId="26" applyNumberFormat="1" applyFont="1" applyBorder="1" applyAlignment="1">
      <alignment horizontal="center" vertical="center" wrapText="1"/>
    </xf>
    <xf numFmtId="173" fontId="13" fillId="0" borderId="17" xfId="26" applyNumberFormat="1" applyFont="1" applyBorder="1" applyAlignment="1">
      <alignment horizontal="center" vertical="center" wrapText="1"/>
    </xf>
    <xf numFmtId="166" fontId="13" fillId="0" borderId="1" xfId="26" applyNumberFormat="1" applyFont="1" applyBorder="1" applyAlignment="1">
      <alignment horizontal="center" vertical="center" wrapText="1"/>
    </xf>
    <xf numFmtId="173" fontId="13" fillId="0" borderId="1" xfId="26" applyNumberFormat="1" applyFont="1" applyBorder="1" applyAlignment="1">
      <alignment horizontal="center" vertical="center" wrapText="1"/>
    </xf>
    <xf numFmtId="0" fontId="12" fillId="0" borderId="1" xfId="20" applyFont="1" applyBorder="1" applyAlignment="1">
      <alignment horizontal="center" vertical="center" wrapText="1"/>
    </xf>
    <xf numFmtId="2" fontId="12" fillId="0" borderId="1" xfId="26" applyNumberFormat="1" applyFont="1" applyBorder="1" applyAlignment="1">
      <alignment horizontal="center" vertical="center" wrapText="1"/>
    </xf>
    <xf numFmtId="0" fontId="12" fillId="0" borderId="1" xfId="20" applyFont="1" applyBorder="1" applyAlignment="1">
      <alignment horizontal="center" wrapText="1"/>
    </xf>
    <xf numFmtId="3" fontId="12" fillId="0" borderId="1" xfId="31" applyNumberFormat="1" applyFont="1" applyBorder="1" applyAlignment="1">
      <alignment horizontal="center" vertical="center" wrapText="1"/>
    </xf>
    <xf numFmtId="1" fontId="12" fillId="0" borderId="0" xfId="31" applyNumberFormat="1" applyFont="1" applyAlignment="1">
      <alignment horizontal="center" vertical="center" wrapText="1"/>
    </xf>
    <xf numFmtId="3" fontId="12" fillId="0" borderId="0" xfId="31" applyNumberFormat="1" applyFont="1" applyAlignment="1">
      <alignment horizontal="center" vertical="center" wrapText="1"/>
    </xf>
    <xf numFmtId="1" fontId="13" fillId="0" borderId="0" xfId="31" applyNumberFormat="1" applyFont="1" applyAlignment="1">
      <alignment horizontal="center" vertical="center" wrapText="1"/>
    </xf>
    <xf numFmtId="1" fontId="13" fillId="0" borderId="18" xfId="31" applyNumberFormat="1" applyFont="1" applyBorder="1" applyAlignment="1">
      <alignment horizontal="right" vertical="center"/>
    </xf>
    <xf numFmtId="3" fontId="12" fillId="0" borderId="4" xfId="31" applyNumberFormat="1" applyFont="1" applyBorder="1" applyAlignment="1">
      <alignment horizontal="center" vertical="center" wrapText="1"/>
    </xf>
    <xf numFmtId="3" fontId="12" fillId="0" borderId="19" xfId="31" applyNumberFormat="1" applyFont="1" applyBorder="1" applyAlignment="1">
      <alignment horizontal="center" vertical="center" wrapText="1"/>
    </xf>
    <xf numFmtId="3" fontId="12" fillId="0" borderId="3" xfId="31" applyNumberFormat="1" applyFont="1" applyBorder="1" applyAlignment="1">
      <alignment horizontal="center" vertical="center" wrapText="1"/>
    </xf>
    <xf numFmtId="3" fontId="15" fillId="0" borderId="1" xfId="31" applyNumberFormat="1" applyFont="1" applyBorder="1" applyAlignment="1">
      <alignment horizontal="center" vertical="center" wrapText="1"/>
    </xf>
    <xf numFmtId="0" fontId="3" fillId="0" borderId="4" xfId="23" applyFont="1" applyBorder="1" applyAlignment="1">
      <alignment horizontal="center" vertical="center" wrapText="1"/>
    </xf>
    <xf numFmtId="0" fontId="3" fillId="0" borderId="3" xfId="23" applyFont="1" applyBorder="1" applyAlignment="1">
      <alignment horizontal="center" vertical="center" wrapText="1"/>
    </xf>
    <xf numFmtId="0" fontId="3" fillId="0" borderId="24" xfId="23" applyFont="1" applyBorder="1" applyAlignment="1">
      <alignment horizontal="center" vertical="center" wrapText="1"/>
    </xf>
    <xf numFmtId="0" fontId="3" fillId="0" borderId="20" xfId="23" applyFont="1" applyBorder="1" applyAlignment="1">
      <alignment horizontal="center" vertical="center" wrapText="1"/>
    </xf>
    <xf numFmtId="0" fontId="3" fillId="0" borderId="22" xfId="23" applyFont="1" applyBorder="1" applyAlignment="1">
      <alignment horizontal="center" vertical="center" wrapText="1"/>
    </xf>
    <xf numFmtId="0" fontId="3" fillId="0" borderId="25" xfId="23" applyFont="1" applyBorder="1" applyAlignment="1">
      <alignment horizontal="center" vertical="center" wrapText="1"/>
    </xf>
    <xf numFmtId="0" fontId="3" fillId="0" borderId="18" xfId="23" applyFont="1" applyBorder="1" applyAlignment="1">
      <alignment horizontal="center" vertical="center" wrapText="1"/>
    </xf>
    <xf numFmtId="0" fontId="3" fillId="0" borderId="23" xfId="23" applyFont="1" applyBorder="1" applyAlignment="1">
      <alignment horizontal="center" vertical="center" wrapText="1"/>
    </xf>
    <xf numFmtId="0" fontId="3" fillId="0" borderId="4" xfId="23" applyFont="1" applyBorder="1" applyAlignment="1">
      <alignment horizontal="center" vertical="center"/>
    </xf>
    <xf numFmtId="0" fontId="3" fillId="0" borderId="3" xfId="23" applyFont="1" applyBorder="1" applyAlignment="1">
      <alignment horizontal="center" vertical="center"/>
    </xf>
    <xf numFmtId="0" fontId="3" fillId="0" borderId="0" xfId="23" applyFont="1" applyAlignment="1">
      <alignment horizontal="center"/>
    </xf>
    <xf numFmtId="0" fontId="3" fillId="0" borderId="0" xfId="23" applyFont="1" applyAlignment="1">
      <alignment horizontal="center" wrapText="1"/>
    </xf>
    <xf numFmtId="4" fontId="34" fillId="0" borderId="0" xfId="23" applyNumberFormat="1" applyFont="1" applyAlignment="1">
      <alignment horizontal="center" vertical="center" wrapText="1"/>
    </xf>
    <xf numFmtId="0" fontId="34" fillId="0" borderId="18" xfId="23" applyFont="1" applyBorder="1" applyAlignment="1">
      <alignment horizontal="right" vertical="center"/>
    </xf>
    <xf numFmtId="0" fontId="3" fillId="0" borderId="2" xfId="23" applyFont="1" applyBorder="1" applyAlignment="1">
      <alignment horizontal="center" vertical="center" wrapText="1"/>
    </xf>
    <xf numFmtId="0" fontId="3" fillId="0" borderId="17" xfId="23" applyFont="1" applyBorder="1" applyAlignment="1">
      <alignment horizontal="center" vertical="center" wrapText="1"/>
    </xf>
    <xf numFmtId="170" fontId="12" fillId="0" borderId="0" xfId="31" applyNumberFormat="1" applyFont="1" applyAlignment="1">
      <alignment horizontal="center" vertical="center" wrapText="1"/>
    </xf>
    <xf numFmtId="170" fontId="13" fillId="0" borderId="0" xfId="31" applyNumberFormat="1" applyFont="1" applyAlignment="1">
      <alignment horizontal="center" vertical="center" wrapText="1"/>
    </xf>
    <xf numFmtId="170" fontId="13" fillId="0" borderId="18" xfId="31" applyNumberFormat="1" applyFont="1" applyBorder="1" applyAlignment="1">
      <alignment horizontal="right" vertical="center"/>
    </xf>
    <xf numFmtId="170" fontId="12" fillId="0" borderId="1" xfId="31" applyNumberFormat="1" applyFont="1" applyBorder="1" applyAlignment="1">
      <alignment horizontal="center" vertical="center" wrapText="1"/>
    </xf>
  </cellXfs>
  <cellStyles count="34">
    <cellStyle name="Comma" xfId="1" builtinId="3"/>
    <cellStyle name="Comma 10 10" xfId="2"/>
    <cellStyle name="Comma 10 10 2" xfId="3"/>
    <cellStyle name="Comma 10 10 5" xfId="4"/>
    <cellStyle name="Comma 10 2 2" xfId="5"/>
    <cellStyle name="Comma 12" xfId="6"/>
    <cellStyle name="Comma 13" xfId="7"/>
    <cellStyle name="Comma 4" xfId="8"/>
    <cellStyle name="Comma 4 18" xfId="9"/>
    <cellStyle name="Comma 4 2" xfId="10"/>
    <cellStyle name="Comma 4 3" xfId="11"/>
    <cellStyle name="Comma 5" xfId="12"/>
    <cellStyle name="Comma 5 21 2 3" xfId="13"/>
    <cellStyle name="Comma 523" xfId="14"/>
    <cellStyle name="Comma 53 6" xfId="15"/>
    <cellStyle name="Comma 530" xfId="16"/>
    <cellStyle name="Comma 535 2" xfId="17"/>
    <cellStyle name="Hyperlink" xfId="18" builtinId="8"/>
    <cellStyle name="Normal" xfId="0" builtinId="0"/>
    <cellStyle name="Normal 10 2" xfId="19"/>
    <cellStyle name="Normal 178" xfId="20"/>
    <cellStyle name="Normal 18" xfId="21"/>
    <cellStyle name="Normal 181" xfId="22"/>
    <cellStyle name="Normal 188" xfId="23"/>
    <cellStyle name="Normal 2" xfId="24"/>
    <cellStyle name="Normal 2 10" xfId="25"/>
    <cellStyle name="Normal 2 40" xfId="26"/>
    <cellStyle name="Normal 3 3 3" xfId="27"/>
    <cellStyle name="Normal 47 4" xfId="28"/>
    <cellStyle name="Normal 58" xfId="29"/>
    <cellStyle name="Normal 71" xfId="30"/>
    <cellStyle name="Normal_Bieu mau (CV )" xfId="31"/>
    <cellStyle name="Normal_DT 2011 2" xfId="32"/>
    <cellStyle name="Normal_Sheet1 2" xfId="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M%202020\HOP%20HDND%20CUOI%20NAM%202020\PHU%20BIEU%20HDND%20THEO%20%20Nghi%20dinh%2031-2018%20(anh%20Li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HONG%20TC%20-%20KH%20HUYEN\HUYNH%20-%20PHUC\KTT\NAM%202024\H&#272;ND%20HUY&#7878;N\KY%20HOP%20H&#272;ND%20CUOI%20NAM%202024\A-%20TONG%20HOP%20DU%20TOAN%20CAC%20TRUONG%20NAM%202025-%20GUI%20LAN%201%20(DAN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U%20LIEU\PHAM%20LIET(DU%20LIEU)\SO%20LIEU%20HOP%20HDND%20CAC%20NAM\NAM%202024\Ke%20hoach%20dau%20tu%20cong%20na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tong hop"/>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Khong)"/>
      <sheetName val="ĐGCĐ THU, CHI MAU 19"/>
      <sheetName val="DANH GIA TH THU NSNN 20"/>
      <sheetName val="D. GIA TH THU NSNN THEO L.V 21"/>
      <sheetName val="22"/>
      <sheetName val="23"/>
      <sheetName val="24"/>
      <sheetName val="25"/>
      <sheetName val="26"/>
      <sheetName val="27"/>
      <sheetName val="28"/>
      <sheetName val="29"/>
      <sheetName val="CĐDT THU, CHI MAU 30"/>
      <sheetName val="31"/>
      <sheetName val="DT THU NSNN MAU 32"/>
      <sheetName val="DT CHI NS HUYEN, XA 33"/>
      <sheetName val="TONG HOP SO 30"/>
      <sheetName val="34 (Khong)"/>
      <sheetName val="CHI NS HUYEN 35"/>
      <sheetName val="36 (KHONG)"/>
      <sheetName val="DT CHI TX NSH TUNG CQ 37"/>
      <sheetName val="DT CTMTQG 38"/>
      <sheetName val="DT THU, CHI NSDP VA BSCĐ 39"/>
      <sheetName val="40 n(Khong)"/>
      <sheetName val="DT CHI NS XA 41"/>
      <sheetName val="42(KHONG)"/>
      <sheetName val="43 (KHONG)"/>
      <sheetName val="44 (KHONG)"/>
      <sheetName val="45 (KHÔNG)"/>
      <sheetName val="DTXDCB 46"/>
      <sheetName val="47 (KHONG)"/>
      <sheetName val="DIEU CHINH DAU TU CONG 16-20"/>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D22">
            <v>444553</v>
          </cell>
        </row>
        <row r="26">
          <cell r="D26">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43">
          <cell r="C43">
            <v>241081</v>
          </cell>
        </row>
        <row r="79">
          <cell r="C79">
            <v>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tong hop"/>
      <sheetName val="01"/>
      <sheetName val="02"/>
      <sheetName val="03"/>
      <sheetName val="04"/>
      <sheetName val="05"/>
      <sheetName val="06"/>
      <sheetName val="07"/>
      <sheetName val="08"/>
      <sheetName val="09"/>
      <sheetName val="10"/>
      <sheetName val="11"/>
      <sheetName val="17"/>
      <sheetName val="18 (Khong)"/>
      <sheetName val="ĐGCĐ THU, CHI MAU 19"/>
      <sheetName val="DANH GIA TH THU NSNN 20"/>
      <sheetName val="D. GIA TH THU NSNN THEO L.V 21"/>
      <sheetName val="22"/>
      <sheetName val="23"/>
      <sheetName val="24"/>
      <sheetName val="25"/>
      <sheetName val="26"/>
      <sheetName val="27"/>
      <sheetName val="28"/>
      <sheetName val="29"/>
      <sheetName val="CĐDT THU, CHI MAU 30"/>
      <sheetName val="31"/>
      <sheetName val="34 (Khong)"/>
      <sheetName val="36 (KHONG)"/>
      <sheetName val="DT CHI TX NSH TUNG CQ 37"/>
      <sheetName val="DT CTMTQG 38"/>
      <sheetName val="TONG HOP"/>
      <sheetName val="GD THEO DINH MUC"/>
      <sheetName val="GD NGOAI DINH MUC"/>
      <sheetName val="GVNVHD"/>
      <sheetName val="TRO CAP TET 2025"/>
      <sheetName val="40 n(Khong)"/>
      <sheetName val="42(KHONG)"/>
      <sheetName val="43 (KHONG)"/>
      <sheetName val="44 (KHONG)"/>
      <sheetName val="45 (KHÔNG)"/>
      <sheetName val="47 (KHONG)"/>
      <sheetName val="DIEU CHINH DAU TU CONG 16-20"/>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12">
          <cell r="H12">
            <v>13</v>
          </cell>
          <cell r="J12">
            <v>156</v>
          </cell>
          <cell r="O12">
            <v>149.03999999999996</v>
          </cell>
          <cell r="Q12">
            <v>27</v>
          </cell>
          <cell r="R12">
            <v>3</v>
          </cell>
          <cell r="AD12">
            <v>210.78519599999998</v>
          </cell>
        </row>
        <row r="13">
          <cell r="H13">
            <v>11</v>
          </cell>
          <cell r="J13">
            <v>132</v>
          </cell>
          <cell r="O13">
            <v>51.030000000000008</v>
          </cell>
          <cell r="Q13">
            <v>17</v>
          </cell>
          <cell r="R13">
            <v>3</v>
          </cell>
          <cell r="AD13">
            <v>156.0358104</v>
          </cell>
        </row>
        <row r="14">
          <cell r="H14">
            <v>15</v>
          </cell>
          <cell r="J14">
            <v>180</v>
          </cell>
          <cell r="O14">
            <v>80.325000000000017</v>
          </cell>
          <cell r="Q14">
            <v>29</v>
          </cell>
          <cell r="R14">
            <v>1</v>
          </cell>
          <cell r="AD14">
            <v>232.4037156</v>
          </cell>
        </row>
        <row r="15">
          <cell r="H15">
            <v>15</v>
          </cell>
          <cell r="J15">
            <v>180</v>
          </cell>
          <cell r="O15">
            <v>84.671999999999997</v>
          </cell>
          <cell r="Q15">
            <v>31</v>
          </cell>
          <cell r="R15">
            <v>2</v>
          </cell>
          <cell r="AD15">
            <v>233.87243999999998</v>
          </cell>
        </row>
        <row r="16">
          <cell r="H16">
            <v>18</v>
          </cell>
          <cell r="J16">
            <v>216</v>
          </cell>
          <cell r="O16">
            <v>99.980999999999995</v>
          </cell>
          <cell r="Q16">
            <v>38</v>
          </cell>
          <cell r="R16">
            <v>5</v>
          </cell>
          <cell r="AD16">
            <v>295.41199236000006</v>
          </cell>
        </row>
        <row r="17">
          <cell r="H17">
            <v>18</v>
          </cell>
          <cell r="J17">
            <v>216</v>
          </cell>
          <cell r="O17">
            <v>71.819999999999993</v>
          </cell>
          <cell r="Q17">
            <v>39</v>
          </cell>
          <cell r="R17">
            <v>3</v>
          </cell>
          <cell r="AD17">
            <v>272.25968399999999</v>
          </cell>
        </row>
        <row r="18">
          <cell r="H18">
            <v>14</v>
          </cell>
          <cell r="J18">
            <v>168</v>
          </cell>
          <cell r="O18">
            <v>60.291000000000004</v>
          </cell>
          <cell r="Q18">
            <v>26</v>
          </cell>
          <cell r="R18">
            <v>2</v>
          </cell>
          <cell r="AD18">
            <v>214.61013456000001</v>
          </cell>
        </row>
        <row r="19">
          <cell r="H19">
            <v>13</v>
          </cell>
          <cell r="J19">
            <v>156</v>
          </cell>
          <cell r="O19">
            <v>63.314999999999998</v>
          </cell>
          <cell r="Q19">
            <v>22</v>
          </cell>
          <cell r="R19">
            <v>2</v>
          </cell>
          <cell r="AD19">
            <v>163.71070800000001</v>
          </cell>
        </row>
        <row r="20">
          <cell r="H20">
            <v>13</v>
          </cell>
          <cell r="J20">
            <v>156</v>
          </cell>
          <cell r="O20">
            <v>198.72</v>
          </cell>
          <cell r="Q20">
            <v>27</v>
          </cell>
          <cell r="R20">
            <v>7</v>
          </cell>
          <cell r="AD20">
            <v>209.88519600000001</v>
          </cell>
        </row>
        <row r="21">
          <cell r="H21">
            <v>14</v>
          </cell>
          <cell r="J21">
            <v>168</v>
          </cell>
          <cell r="O21">
            <v>74.655000000000001</v>
          </cell>
          <cell r="Q21">
            <v>22</v>
          </cell>
          <cell r="R21">
            <v>3</v>
          </cell>
          <cell r="AD21">
            <v>190.16976299999999</v>
          </cell>
        </row>
        <row r="22">
          <cell r="H22">
            <v>8</v>
          </cell>
          <cell r="J22">
            <v>96</v>
          </cell>
          <cell r="O22">
            <v>95.385599999999997</v>
          </cell>
          <cell r="Q22">
            <v>16</v>
          </cell>
          <cell r="R22">
            <v>3</v>
          </cell>
          <cell r="AD22">
            <v>159.88901988000001</v>
          </cell>
        </row>
        <row r="23">
          <cell r="H23">
            <v>9</v>
          </cell>
          <cell r="J23">
            <v>108</v>
          </cell>
          <cell r="O23">
            <v>19.844999999999999</v>
          </cell>
          <cell r="Q23">
            <v>16</v>
          </cell>
          <cell r="R23">
            <v>2</v>
          </cell>
          <cell r="AD23">
            <v>113.63622000000001</v>
          </cell>
        </row>
        <row r="24">
          <cell r="H24">
            <v>9</v>
          </cell>
          <cell r="J24">
            <v>108</v>
          </cell>
          <cell r="O24">
            <v>47.061000000000007</v>
          </cell>
          <cell r="Q24">
            <v>24</v>
          </cell>
          <cell r="R24">
            <v>1</v>
          </cell>
          <cell r="AD24">
            <v>187.469763</v>
          </cell>
        </row>
        <row r="25">
          <cell r="H25">
            <v>10</v>
          </cell>
          <cell r="J25">
            <v>120</v>
          </cell>
          <cell r="O25">
            <v>39.501000000000005</v>
          </cell>
          <cell r="Q25">
            <v>20</v>
          </cell>
          <cell r="R25">
            <v>2</v>
          </cell>
          <cell r="AD25">
            <v>160.32939143999999</v>
          </cell>
        </row>
        <row r="26">
          <cell r="H26">
            <v>12</v>
          </cell>
          <cell r="J26">
            <v>144</v>
          </cell>
          <cell r="O26">
            <v>51.597000000000008</v>
          </cell>
          <cell r="Q26">
            <v>21</v>
          </cell>
          <cell r="R26">
            <v>2</v>
          </cell>
          <cell r="AD26">
            <v>179.27618196000003</v>
          </cell>
        </row>
        <row r="27">
          <cell r="H27">
            <v>10</v>
          </cell>
          <cell r="J27">
            <v>120</v>
          </cell>
          <cell r="O27">
            <v>15.120000000000001</v>
          </cell>
          <cell r="Q27">
            <v>19</v>
          </cell>
          <cell r="R27">
            <v>2</v>
          </cell>
          <cell r="AD27">
            <v>151.12346400000001</v>
          </cell>
        </row>
        <row r="28">
          <cell r="H28">
            <v>6</v>
          </cell>
          <cell r="J28">
            <v>72</v>
          </cell>
          <cell r="O28">
            <v>27.594000000000001</v>
          </cell>
          <cell r="Q28">
            <v>10</v>
          </cell>
          <cell r="R28">
            <v>3</v>
          </cell>
          <cell r="AD28">
            <v>89.408276760000007</v>
          </cell>
        </row>
        <row r="30">
          <cell r="H30">
            <v>10</v>
          </cell>
          <cell r="J30">
            <v>114</v>
          </cell>
          <cell r="Q30">
            <v>16</v>
          </cell>
          <cell r="R30">
            <v>1</v>
          </cell>
        </row>
        <row r="31">
          <cell r="H31">
            <v>27</v>
          </cell>
          <cell r="J31">
            <v>307.79999999999995</v>
          </cell>
          <cell r="Q31">
            <v>35</v>
          </cell>
          <cell r="R31">
            <v>1</v>
          </cell>
        </row>
        <row r="32">
          <cell r="H32">
            <v>18</v>
          </cell>
          <cell r="J32">
            <v>205.2</v>
          </cell>
          <cell r="Q32">
            <v>29</v>
          </cell>
          <cell r="R32">
            <v>1</v>
          </cell>
        </row>
        <row r="33">
          <cell r="H33">
            <v>17</v>
          </cell>
          <cell r="J33">
            <v>193.79999999999998</v>
          </cell>
          <cell r="Q33">
            <v>24</v>
          </cell>
          <cell r="R33">
            <v>1</v>
          </cell>
        </row>
        <row r="34">
          <cell r="H34">
            <v>18</v>
          </cell>
          <cell r="J34">
            <v>205.2</v>
          </cell>
          <cell r="Q34">
            <v>29</v>
          </cell>
          <cell r="R34">
            <v>1</v>
          </cell>
        </row>
        <row r="35">
          <cell r="H35">
            <v>15</v>
          </cell>
          <cell r="J35">
            <v>171</v>
          </cell>
          <cell r="Q35">
            <v>18</v>
          </cell>
          <cell r="R35">
            <v>1</v>
          </cell>
        </row>
        <row r="36">
          <cell r="H36">
            <v>12</v>
          </cell>
          <cell r="J36">
            <v>136.79999999999998</v>
          </cell>
          <cell r="Q36">
            <v>19</v>
          </cell>
          <cell r="R36">
            <v>1</v>
          </cell>
        </row>
        <row r="37">
          <cell r="H37">
            <v>16</v>
          </cell>
          <cell r="J37">
            <v>182.39999999999998</v>
          </cell>
          <cell r="Q37">
            <v>20</v>
          </cell>
        </row>
        <row r="38">
          <cell r="H38">
            <v>10</v>
          </cell>
          <cell r="J38">
            <v>114</v>
          </cell>
          <cell r="Q38">
            <v>17</v>
          </cell>
          <cell r="R38">
            <v>2</v>
          </cell>
        </row>
        <row r="39">
          <cell r="H39">
            <v>15</v>
          </cell>
          <cell r="J39">
            <v>171</v>
          </cell>
          <cell r="Q39">
            <v>29</v>
          </cell>
          <cell r="R39">
            <v>1</v>
          </cell>
        </row>
        <row r="40">
          <cell r="H40">
            <v>15</v>
          </cell>
          <cell r="J40">
            <v>171</v>
          </cell>
          <cell r="Q40">
            <v>28</v>
          </cell>
          <cell r="R40">
            <v>1</v>
          </cell>
        </row>
        <row r="41">
          <cell r="H41">
            <v>16</v>
          </cell>
          <cell r="J41">
            <v>182.39999999999998</v>
          </cell>
          <cell r="Q41">
            <v>28</v>
          </cell>
          <cell r="R41">
            <v>1</v>
          </cell>
        </row>
        <row r="42">
          <cell r="H42">
            <v>13</v>
          </cell>
          <cell r="J42">
            <v>148.19999999999999</v>
          </cell>
          <cell r="Q42">
            <v>23</v>
          </cell>
          <cell r="R42">
            <v>1</v>
          </cell>
        </row>
        <row r="43">
          <cell r="H43">
            <v>10</v>
          </cell>
          <cell r="J43">
            <v>114</v>
          </cell>
          <cell r="Q43">
            <v>21</v>
          </cell>
          <cell r="R43">
            <v>1</v>
          </cell>
        </row>
        <row r="44">
          <cell r="H44">
            <v>25</v>
          </cell>
          <cell r="J44">
            <v>285</v>
          </cell>
          <cell r="Q44">
            <v>39</v>
          </cell>
          <cell r="R44">
            <v>2</v>
          </cell>
        </row>
        <row r="45">
          <cell r="H45">
            <v>10</v>
          </cell>
          <cell r="J45">
            <v>114</v>
          </cell>
          <cell r="Q45">
            <v>18</v>
          </cell>
          <cell r="R45">
            <v>1</v>
          </cell>
        </row>
        <row r="46">
          <cell r="H46">
            <v>10</v>
          </cell>
          <cell r="J46">
            <v>114</v>
          </cell>
          <cell r="Q46">
            <v>19</v>
          </cell>
          <cell r="R46">
            <v>1</v>
          </cell>
        </row>
        <row r="47">
          <cell r="H47">
            <v>10</v>
          </cell>
          <cell r="J47">
            <v>114</v>
          </cell>
          <cell r="Q47">
            <v>18</v>
          </cell>
          <cell r="R47">
            <v>1</v>
          </cell>
        </row>
        <row r="48">
          <cell r="H48">
            <v>23</v>
          </cell>
          <cell r="J48">
            <v>262.2</v>
          </cell>
          <cell r="Q48">
            <v>36</v>
          </cell>
          <cell r="R48">
            <v>2</v>
          </cell>
        </row>
        <row r="49">
          <cell r="H49">
            <v>18</v>
          </cell>
          <cell r="J49">
            <v>205.2</v>
          </cell>
          <cell r="Q49">
            <v>30</v>
          </cell>
          <cell r="R49">
            <v>1</v>
          </cell>
        </row>
        <row r="50">
          <cell r="H50">
            <v>13</v>
          </cell>
          <cell r="J50">
            <v>148.19999999999999</v>
          </cell>
          <cell r="Q50">
            <v>22</v>
          </cell>
          <cell r="R50">
            <v>1</v>
          </cell>
        </row>
        <row r="51">
          <cell r="H51">
            <v>15</v>
          </cell>
          <cell r="J51">
            <v>171</v>
          </cell>
          <cell r="Q51">
            <v>22</v>
          </cell>
          <cell r="R51">
            <v>1</v>
          </cell>
        </row>
        <row r="52">
          <cell r="H52">
            <v>15</v>
          </cell>
          <cell r="J52">
            <v>171</v>
          </cell>
          <cell r="Q52">
            <v>25</v>
          </cell>
          <cell r="R52">
            <v>1</v>
          </cell>
        </row>
        <row r="53">
          <cell r="H53">
            <v>21</v>
          </cell>
          <cell r="J53">
            <v>239.39999999999998</v>
          </cell>
          <cell r="Q53">
            <v>33</v>
          </cell>
          <cell r="R53">
            <v>2</v>
          </cell>
        </row>
        <row r="54">
          <cell r="H54">
            <v>12</v>
          </cell>
          <cell r="J54">
            <v>136.79999999999998</v>
          </cell>
          <cell r="Q54">
            <v>22</v>
          </cell>
          <cell r="R54">
            <v>1</v>
          </cell>
        </row>
        <row r="55">
          <cell r="H55">
            <v>17</v>
          </cell>
          <cell r="J55">
            <v>193.79999999999998</v>
          </cell>
          <cell r="Q55">
            <v>26</v>
          </cell>
          <cell r="R55">
            <v>1</v>
          </cell>
        </row>
        <row r="56">
          <cell r="H56">
            <v>11</v>
          </cell>
          <cell r="J56">
            <v>125.39999999999999</v>
          </cell>
          <cell r="Q56">
            <v>19</v>
          </cell>
          <cell r="R56">
            <v>1</v>
          </cell>
        </row>
        <row r="57">
          <cell r="H57">
            <v>15</v>
          </cell>
          <cell r="J57">
            <v>171</v>
          </cell>
          <cell r="Q57">
            <v>27</v>
          </cell>
        </row>
        <row r="58">
          <cell r="H58">
            <v>10</v>
          </cell>
          <cell r="J58">
            <v>114</v>
          </cell>
          <cell r="Q58">
            <v>19</v>
          </cell>
          <cell r="R58">
            <v>1</v>
          </cell>
        </row>
        <row r="59">
          <cell r="H59">
            <v>19</v>
          </cell>
          <cell r="J59">
            <v>216.60000000000002</v>
          </cell>
          <cell r="Q59">
            <v>30</v>
          </cell>
          <cell r="R59">
            <v>1</v>
          </cell>
        </row>
        <row r="60">
          <cell r="H60">
            <v>20</v>
          </cell>
          <cell r="J60">
            <v>228</v>
          </cell>
          <cell r="Q60">
            <v>31</v>
          </cell>
          <cell r="R60">
            <v>1</v>
          </cell>
        </row>
        <row r="61">
          <cell r="H61">
            <v>14</v>
          </cell>
          <cell r="J61">
            <v>159.6</v>
          </cell>
          <cell r="Q61">
            <v>19</v>
          </cell>
          <cell r="R61">
            <v>1</v>
          </cell>
        </row>
        <row r="62">
          <cell r="H62">
            <v>21</v>
          </cell>
          <cell r="J62">
            <v>239.39999999999998</v>
          </cell>
          <cell r="Q62">
            <v>35</v>
          </cell>
          <cell r="R62">
            <v>1</v>
          </cell>
        </row>
        <row r="63">
          <cell r="H63">
            <v>10</v>
          </cell>
          <cell r="J63">
            <v>114</v>
          </cell>
          <cell r="Q63">
            <v>20</v>
          </cell>
          <cell r="R63">
            <v>2</v>
          </cell>
        </row>
        <row r="65">
          <cell r="H65">
            <v>7</v>
          </cell>
          <cell r="J65">
            <v>79.8</v>
          </cell>
          <cell r="O65">
            <v>41.309999999999995</v>
          </cell>
          <cell r="Q65">
            <v>19</v>
          </cell>
        </row>
        <row r="66">
          <cell r="H66">
            <v>10</v>
          </cell>
          <cell r="J66">
            <v>114</v>
          </cell>
          <cell r="O66">
            <v>63.66599999999999</v>
          </cell>
          <cell r="Q66">
            <v>24</v>
          </cell>
          <cell r="R66">
            <v>1</v>
          </cell>
        </row>
        <row r="67">
          <cell r="H67">
            <v>17</v>
          </cell>
          <cell r="J67">
            <v>193.79999999999998</v>
          </cell>
          <cell r="O67">
            <v>189.21600000000001</v>
          </cell>
          <cell r="Q67">
            <v>31</v>
          </cell>
          <cell r="R67">
            <v>1</v>
          </cell>
        </row>
        <row r="68">
          <cell r="H68">
            <v>14</v>
          </cell>
          <cell r="J68">
            <v>159.6</v>
          </cell>
          <cell r="O68">
            <v>88.937999999999988</v>
          </cell>
          <cell r="Q68">
            <v>30</v>
          </cell>
          <cell r="R68">
            <v>1</v>
          </cell>
        </row>
        <row r="69">
          <cell r="H69">
            <v>20</v>
          </cell>
          <cell r="J69">
            <v>228</v>
          </cell>
          <cell r="O69">
            <v>128.78999999999996</v>
          </cell>
          <cell r="Q69">
            <v>44</v>
          </cell>
          <cell r="R69">
            <v>1</v>
          </cell>
        </row>
        <row r="70">
          <cell r="H70">
            <v>16</v>
          </cell>
          <cell r="J70">
            <v>182.39999999999998</v>
          </cell>
          <cell r="O70">
            <v>78.894000000000005</v>
          </cell>
          <cell r="Q70">
            <v>30</v>
          </cell>
          <cell r="R70">
            <v>1</v>
          </cell>
        </row>
        <row r="71">
          <cell r="H71">
            <v>26</v>
          </cell>
          <cell r="J71">
            <v>296.39999999999998</v>
          </cell>
          <cell r="O71">
            <v>332.42399999999998</v>
          </cell>
          <cell r="Q71">
            <v>49</v>
          </cell>
          <cell r="R71">
            <v>1</v>
          </cell>
        </row>
        <row r="72">
          <cell r="H72">
            <v>21</v>
          </cell>
          <cell r="J72">
            <v>239.39999999999998</v>
          </cell>
          <cell r="O72">
            <v>139.32</v>
          </cell>
          <cell r="Q72">
            <v>40</v>
          </cell>
          <cell r="R72">
            <v>1</v>
          </cell>
        </row>
        <row r="73">
          <cell r="H73">
            <v>18</v>
          </cell>
          <cell r="J73">
            <v>205.2</v>
          </cell>
          <cell r="O73">
            <v>108.378</v>
          </cell>
          <cell r="Q73">
            <v>31</v>
          </cell>
          <cell r="R73">
            <v>1</v>
          </cell>
        </row>
        <row r="74">
          <cell r="H74">
            <v>16</v>
          </cell>
          <cell r="J74">
            <v>182.39999999999998</v>
          </cell>
          <cell r="O74">
            <v>110.80800000000001</v>
          </cell>
          <cell r="Q74">
            <v>32</v>
          </cell>
          <cell r="R74">
            <v>1</v>
          </cell>
        </row>
        <row r="75">
          <cell r="H75">
            <v>29</v>
          </cell>
          <cell r="J75">
            <v>330.59999999999997</v>
          </cell>
          <cell r="O75">
            <v>206.71199999999999</v>
          </cell>
          <cell r="Q75">
            <v>49</v>
          </cell>
          <cell r="R75">
            <v>2</v>
          </cell>
        </row>
        <row r="76">
          <cell r="H76">
            <v>13</v>
          </cell>
          <cell r="J76">
            <v>148.19999999999999</v>
          </cell>
          <cell r="O76">
            <v>88.127999999999986</v>
          </cell>
          <cell r="Q76">
            <v>28</v>
          </cell>
          <cell r="R76">
            <v>1</v>
          </cell>
        </row>
        <row r="77">
          <cell r="H77">
            <v>14</v>
          </cell>
          <cell r="J77">
            <v>159.6</v>
          </cell>
          <cell r="O77">
            <v>65.771999999999991</v>
          </cell>
          <cell r="Q77">
            <v>30</v>
          </cell>
          <cell r="R77">
            <v>1</v>
          </cell>
        </row>
      </sheetData>
      <sheetData sheetId="33" refreshError="1">
        <row r="28">
          <cell r="AM28">
            <v>135.17143884000001</v>
          </cell>
        </row>
        <row r="29">
          <cell r="AM29">
            <v>236.21965872000001</v>
          </cell>
        </row>
        <row r="30">
          <cell r="AM30">
            <v>191.26051559999999</v>
          </cell>
        </row>
        <row r="31">
          <cell r="AM31">
            <v>164.92896299999998</v>
          </cell>
        </row>
        <row r="32">
          <cell r="AM32">
            <v>133.68026399999999</v>
          </cell>
        </row>
        <row r="33">
          <cell r="AM33">
            <v>130.45301988</v>
          </cell>
        </row>
        <row r="34">
          <cell r="AM34">
            <v>131.40701040000002</v>
          </cell>
        </row>
        <row r="35">
          <cell r="AM35">
            <v>91.410576000000006</v>
          </cell>
        </row>
        <row r="36">
          <cell r="AM36">
            <v>122.66501988000002</v>
          </cell>
        </row>
        <row r="37">
          <cell r="AM37">
            <v>186.7677156</v>
          </cell>
        </row>
        <row r="38">
          <cell r="AM38">
            <v>170.84919599999998</v>
          </cell>
        </row>
        <row r="39">
          <cell r="AM39">
            <v>183.11852508000001</v>
          </cell>
        </row>
        <row r="40">
          <cell r="AM40">
            <v>145.69177248000003</v>
          </cell>
        </row>
        <row r="41">
          <cell r="AM41">
            <v>137.80539143999999</v>
          </cell>
        </row>
        <row r="42">
          <cell r="AM42">
            <v>258.95841132000004</v>
          </cell>
        </row>
        <row r="43">
          <cell r="AM43">
            <v>115.46501988000001</v>
          </cell>
        </row>
        <row r="44">
          <cell r="AM44">
            <v>120.31181040000001</v>
          </cell>
        </row>
        <row r="45">
          <cell r="AM45">
            <v>115.46501988000001</v>
          </cell>
        </row>
        <row r="46">
          <cell r="AM46">
            <v>239.62283976000003</v>
          </cell>
        </row>
        <row r="47">
          <cell r="AM47">
            <v>196.10730612</v>
          </cell>
        </row>
        <row r="48">
          <cell r="AM48">
            <v>147.74498195999999</v>
          </cell>
        </row>
        <row r="49">
          <cell r="AM49">
            <v>143.54018196000001</v>
          </cell>
        </row>
        <row r="50">
          <cell r="AM50">
            <v>157.361952</v>
          </cell>
        </row>
        <row r="51">
          <cell r="AM51">
            <v>221.18726820000001</v>
          </cell>
        </row>
        <row r="52">
          <cell r="AM52">
            <v>130.081908</v>
          </cell>
        </row>
        <row r="53">
          <cell r="AM53">
            <v>167.12254404000004</v>
          </cell>
        </row>
        <row r="54">
          <cell r="AM54">
            <v>126.60941040000002</v>
          </cell>
        </row>
        <row r="55">
          <cell r="AM55">
            <v>171.32734404000001</v>
          </cell>
        </row>
        <row r="56">
          <cell r="AM56">
            <v>127.81181040000001</v>
          </cell>
        </row>
        <row r="57">
          <cell r="AM57">
            <v>195.20490612000003</v>
          </cell>
        </row>
        <row r="58">
          <cell r="AM58">
            <v>197.34929664000003</v>
          </cell>
        </row>
        <row r="59">
          <cell r="AM59">
            <v>123.9022104</v>
          </cell>
        </row>
        <row r="60">
          <cell r="AM60">
            <v>223.93405872000005</v>
          </cell>
        </row>
        <row r="61">
          <cell r="AM61">
            <v>130.60539144000001</v>
          </cell>
        </row>
        <row r="63">
          <cell r="AM63">
            <v>112.56720348</v>
          </cell>
        </row>
        <row r="64">
          <cell r="AM64">
            <v>147.02337300000002</v>
          </cell>
        </row>
        <row r="65">
          <cell r="AM65">
            <v>195.16383744000001</v>
          </cell>
        </row>
        <row r="66">
          <cell r="AM66">
            <v>185.37714252000001</v>
          </cell>
        </row>
        <row r="67">
          <cell r="AM67">
            <v>262.17727140000005</v>
          </cell>
        </row>
        <row r="68">
          <cell r="AM68">
            <v>188.97234252000001</v>
          </cell>
        </row>
        <row r="69">
          <cell r="AM69">
            <v>298.83234599999997</v>
          </cell>
        </row>
        <row r="70">
          <cell r="AM70">
            <v>246.69929171999999</v>
          </cell>
        </row>
        <row r="71">
          <cell r="AM71">
            <v>195.16143744000001</v>
          </cell>
        </row>
        <row r="72">
          <cell r="AM72">
            <v>196.56013236000001</v>
          </cell>
        </row>
        <row r="73">
          <cell r="AM73">
            <v>307.71904092</v>
          </cell>
        </row>
        <row r="74">
          <cell r="AM74">
            <v>173.89175268</v>
          </cell>
        </row>
        <row r="75">
          <cell r="AM75">
            <v>183.27714252000001</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PL1 TH"/>
      <sheetName val="PL2 NSDP"/>
      <sheetName val="PL3 NSTW "/>
      <sheetName val="PL4 DT"/>
      <sheetName val="PL5 GNBV"/>
      <sheetName val="PL6 NTM"/>
      <sheetName val="PL7 ODA"/>
      <sheetName val="PL2 NSDP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3">
          <cell r="A3" t="str">
            <v>(Kèm theo Tờ trình số        TTr -TCKH ngày      tháng 11 năm 2023 của phòng Tài chính Kế hoạch huyện Phụng Hiệp)</v>
          </cell>
        </row>
        <row r="14">
          <cell r="CT14">
            <v>43388</v>
          </cell>
        </row>
      </sheetData>
      <sheetData sheetId="32">
        <row r="3">
          <cell r="A3" t="str">
            <v>(Kèm theo Tờ trình số        TTr -TCKH ngày      tháng 11 năm 2023 của phòng Tài chính Kế hoạch huyện Phụng Hiệp)</v>
          </cell>
        </row>
        <row r="12">
          <cell r="AI12">
            <v>8742</v>
          </cell>
        </row>
      </sheetData>
      <sheetData sheetId="33" refreshError="1"/>
      <sheetData sheetId="34" refreshError="1"/>
      <sheetData sheetId="35">
        <row r="7">
          <cell r="O7">
            <v>13074</v>
          </cell>
        </row>
      </sheetData>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77"/>
  <sheetViews>
    <sheetView topLeftCell="A25" workbookViewId="0">
      <selection activeCell="E33" sqref="E33"/>
    </sheetView>
  </sheetViews>
  <sheetFormatPr defaultColWidth="9.28515625" defaultRowHeight="15.75" x14ac:dyDescent="0.25"/>
  <cols>
    <col min="1" max="1" width="22.28515625" style="54" customWidth="1"/>
    <col min="2" max="2" width="64.7109375" style="52" customWidth="1"/>
    <col min="3" max="3" width="47.7109375" style="52" hidden="1" customWidth="1"/>
    <col min="4" max="16384" width="9.28515625" style="52"/>
  </cols>
  <sheetData>
    <row r="1" spans="1:3" x14ac:dyDescent="0.25">
      <c r="A1" s="551" t="s">
        <v>955</v>
      </c>
      <c r="B1" s="551"/>
      <c r="C1" s="551"/>
    </row>
    <row r="2" spans="1:3" ht="38.25" customHeight="1" x14ac:dyDescent="0.25">
      <c r="A2" s="550" t="s">
        <v>958</v>
      </c>
      <c r="B2" s="550"/>
      <c r="C2" s="550"/>
    </row>
    <row r="3" spans="1:3" s="58" customFormat="1" x14ac:dyDescent="0.25">
      <c r="A3" s="29" t="s">
        <v>959</v>
      </c>
      <c r="B3" s="29" t="s">
        <v>4</v>
      </c>
      <c r="C3" s="29" t="s">
        <v>960</v>
      </c>
    </row>
    <row r="4" spans="1:3" x14ac:dyDescent="0.25">
      <c r="A4" s="51" t="s">
        <v>874</v>
      </c>
      <c r="B4" s="51" t="s">
        <v>875</v>
      </c>
      <c r="C4" s="51"/>
    </row>
    <row r="5" spans="1:3" x14ac:dyDescent="0.25">
      <c r="A5" s="53" t="s">
        <v>0</v>
      </c>
      <c r="B5" s="31" t="s">
        <v>876</v>
      </c>
      <c r="C5" s="31" t="s">
        <v>961</v>
      </c>
    </row>
    <row r="6" spans="1:3" ht="31.5" x14ac:dyDescent="0.25">
      <c r="A6" s="53" t="s">
        <v>53</v>
      </c>
      <c r="B6" s="31" t="s">
        <v>877</v>
      </c>
      <c r="C6" s="31" t="s">
        <v>966</v>
      </c>
    </row>
    <row r="7" spans="1:3" x14ac:dyDescent="0.25">
      <c r="A7" s="51" t="s">
        <v>878</v>
      </c>
      <c r="B7" s="51" t="s">
        <v>879</v>
      </c>
      <c r="C7" s="51"/>
    </row>
    <row r="8" spans="1:3" ht="31.5" customHeight="1" x14ac:dyDescent="0.25">
      <c r="A8" s="53" t="s">
        <v>124</v>
      </c>
      <c r="B8" s="31" t="s">
        <v>880</v>
      </c>
      <c r="C8" s="548" t="s">
        <v>962</v>
      </c>
    </row>
    <row r="9" spans="1:3" ht="31.5" x14ac:dyDescent="0.25">
      <c r="A9" s="53" t="s">
        <v>159</v>
      </c>
      <c r="B9" s="31" t="s">
        <v>881</v>
      </c>
      <c r="C9" s="552"/>
    </row>
    <row r="10" spans="1:3" ht="31.5" x14ac:dyDescent="0.25">
      <c r="A10" s="53" t="s">
        <v>178</v>
      </c>
      <c r="B10" s="31" t="s">
        <v>882</v>
      </c>
      <c r="C10" s="552"/>
    </row>
    <row r="11" spans="1:3" ht="47.25" x14ac:dyDescent="0.25">
      <c r="A11" s="53" t="s">
        <v>206</v>
      </c>
      <c r="B11" s="31" t="s">
        <v>883</v>
      </c>
      <c r="C11" s="549"/>
    </row>
    <row r="12" spans="1:3" x14ac:dyDescent="0.25">
      <c r="A12" s="51" t="s">
        <v>884</v>
      </c>
      <c r="B12" s="51" t="s">
        <v>885</v>
      </c>
      <c r="C12" s="51"/>
    </row>
    <row r="13" spans="1:3" x14ac:dyDescent="0.25">
      <c r="A13" s="53" t="s">
        <v>224</v>
      </c>
      <c r="B13" s="31" t="s">
        <v>886</v>
      </c>
      <c r="C13" s="31" t="s">
        <v>965</v>
      </c>
    </row>
    <row r="14" spans="1:3" ht="31.5" x14ac:dyDescent="0.25">
      <c r="A14" s="53" t="s">
        <v>262</v>
      </c>
      <c r="B14" s="31" t="s">
        <v>887</v>
      </c>
      <c r="C14" s="31" t="s">
        <v>976</v>
      </c>
    </row>
    <row r="15" spans="1:3" ht="31.5" x14ac:dyDescent="0.25">
      <c r="A15" s="53" t="s">
        <v>294</v>
      </c>
      <c r="B15" s="31" t="s">
        <v>888</v>
      </c>
      <c r="C15" s="31" t="s">
        <v>965</v>
      </c>
    </row>
    <row r="16" spans="1:3" x14ac:dyDescent="0.25">
      <c r="A16" s="53" t="s">
        <v>315</v>
      </c>
      <c r="B16" s="31" t="s">
        <v>889</v>
      </c>
      <c r="C16" s="31" t="s">
        <v>965</v>
      </c>
    </row>
    <row r="17" spans="1:3" ht="31.5" x14ac:dyDescent="0.25">
      <c r="A17" s="53" t="s">
        <v>328</v>
      </c>
      <c r="B17" s="31" t="s">
        <v>890</v>
      </c>
      <c r="C17" s="31" t="s">
        <v>964</v>
      </c>
    </row>
    <row r="18" spans="1:3" x14ac:dyDescent="0.25">
      <c r="A18" s="51" t="s">
        <v>891</v>
      </c>
      <c r="B18" s="51" t="s">
        <v>892</v>
      </c>
      <c r="C18" s="51"/>
    </row>
    <row r="19" spans="1:3" x14ac:dyDescent="0.25">
      <c r="A19" s="50" t="s">
        <v>893</v>
      </c>
      <c r="B19" s="31" t="s">
        <v>894</v>
      </c>
      <c r="C19" s="548" t="s">
        <v>967</v>
      </c>
    </row>
    <row r="20" spans="1:3" x14ac:dyDescent="0.25">
      <c r="A20" s="53" t="s">
        <v>354</v>
      </c>
      <c r="B20" s="31" t="s">
        <v>895</v>
      </c>
      <c r="C20" s="552"/>
    </row>
    <row r="21" spans="1:3" x14ac:dyDescent="0.25">
      <c r="A21" s="53" t="s">
        <v>373</v>
      </c>
      <c r="B21" s="31" t="s">
        <v>896</v>
      </c>
      <c r="C21" s="552"/>
    </row>
    <row r="22" spans="1:3" x14ac:dyDescent="0.25">
      <c r="A22" s="53" t="s">
        <v>414</v>
      </c>
      <c r="B22" s="31" t="s">
        <v>897</v>
      </c>
      <c r="C22" s="552"/>
    </row>
    <row r="23" spans="1:3" x14ac:dyDescent="0.25">
      <c r="A23" s="50" t="s">
        <v>898</v>
      </c>
      <c r="B23" s="31" t="s">
        <v>899</v>
      </c>
      <c r="C23" s="552"/>
    </row>
    <row r="24" spans="1:3" x14ac:dyDescent="0.25">
      <c r="A24" s="53" t="s">
        <v>433</v>
      </c>
      <c r="B24" s="31" t="s">
        <v>900</v>
      </c>
      <c r="C24" s="552"/>
    </row>
    <row r="25" spans="1:3" x14ac:dyDescent="0.25">
      <c r="A25" s="53" t="s">
        <v>450</v>
      </c>
      <c r="B25" s="31" t="s">
        <v>901</v>
      </c>
      <c r="C25" s="552"/>
    </row>
    <row r="26" spans="1:3" x14ac:dyDescent="0.25">
      <c r="A26" s="53" t="s">
        <v>473</v>
      </c>
      <c r="B26" s="31" t="s">
        <v>902</v>
      </c>
      <c r="C26" s="552"/>
    </row>
    <row r="27" spans="1:3" x14ac:dyDescent="0.25">
      <c r="A27" s="53" t="s">
        <v>481</v>
      </c>
      <c r="B27" s="31" t="s">
        <v>903</v>
      </c>
      <c r="C27" s="549"/>
    </row>
    <row r="28" spans="1:3" x14ac:dyDescent="0.25">
      <c r="A28" s="51" t="s">
        <v>904</v>
      </c>
      <c r="B28" s="51" t="s">
        <v>905</v>
      </c>
      <c r="C28" s="51"/>
    </row>
    <row r="29" spans="1:3" s="60" customFormat="1" x14ac:dyDescent="0.25">
      <c r="A29" s="59" t="s">
        <v>893</v>
      </c>
      <c r="B29" s="30" t="s">
        <v>894</v>
      </c>
      <c r="C29" s="30"/>
    </row>
    <row r="30" spans="1:3" ht="63" x14ac:dyDescent="0.25">
      <c r="A30" s="53" t="s">
        <v>511</v>
      </c>
      <c r="B30" s="31" t="s">
        <v>906</v>
      </c>
      <c r="C30" s="31" t="s">
        <v>977</v>
      </c>
    </row>
    <row r="31" spans="1:3" ht="31.5" x14ac:dyDescent="0.25">
      <c r="A31" s="53" t="s">
        <v>521</v>
      </c>
      <c r="B31" s="31" t="s">
        <v>907</v>
      </c>
      <c r="C31" s="548" t="s">
        <v>972</v>
      </c>
    </row>
    <row r="32" spans="1:3" ht="31.5" x14ac:dyDescent="0.25">
      <c r="A32" s="53" t="s">
        <v>536</v>
      </c>
      <c r="B32" s="31" t="s">
        <v>908</v>
      </c>
      <c r="C32" s="549"/>
    </row>
    <row r="33" spans="1:3" ht="78.75" x14ac:dyDescent="0.25">
      <c r="A33" s="53" t="s">
        <v>540</v>
      </c>
      <c r="B33" s="31" t="s">
        <v>909</v>
      </c>
      <c r="C33" s="31" t="s">
        <v>978</v>
      </c>
    </row>
    <row r="34" spans="1:3" ht="31.5" x14ac:dyDescent="0.25">
      <c r="A34" s="53" t="s">
        <v>550</v>
      </c>
      <c r="B34" s="31" t="s">
        <v>910</v>
      </c>
      <c r="C34" s="31" t="s">
        <v>968</v>
      </c>
    </row>
    <row r="35" spans="1:3" ht="63" x14ac:dyDescent="0.25">
      <c r="A35" s="53" t="s">
        <v>569</v>
      </c>
      <c r="B35" s="31" t="s">
        <v>911</v>
      </c>
      <c r="C35" s="31" t="s">
        <v>979</v>
      </c>
    </row>
    <row r="36" spans="1:3" ht="63" x14ac:dyDescent="0.25">
      <c r="A36" s="53" t="s">
        <v>584</v>
      </c>
      <c r="B36" s="31" t="s">
        <v>912</v>
      </c>
      <c r="C36" s="31" t="s">
        <v>980</v>
      </c>
    </row>
    <row r="37" spans="1:3" ht="47.25" x14ac:dyDescent="0.25">
      <c r="A37" s="53" t="s">
        <v>589</v>
      </c>
      <c r="B37" s="31" t="s">
        <v>913</v>
      </c>
      <c r="C37" s="31" t="s">
        <v>981</v>
      </c>
    </row>
    <row r="38" spans="1:3" ht="31.5" x14ac:dyDescent="0.25">
      <c r="A38" s="53" t="s">
        <v>591</v>
      </c>
      <c r="B38" s="31" t="s">
        <v>914</v>
      </c>
      <c r="C38" s="31" t="s">
        <v>975</v>
      </c>
    </row>
    <row r="39" spans="1:3" ht="31.5" x14ac:dyDescent="0.25">
      <c r="A39" s="53" t="s">
        <v>614</v>
      </c>
      <c r="B39" s="31" t="s">
        <v>915</v>
      </c>
      <c r="C39" s="31" t="s">
        <v>974</v>
      </c>
    </row>
    <row r="40" spans="1:3" ht="31.5" x14ac:dyDescent="0.25">
      <c r="A40" s="53" t="s">
        <v>630</v>
      </c>
      <c r="B40" s="31" t="s">
        <v>916</v>
      </c>
      <c r="C40" s="31" t="s">
        <v>973</v>
      </c>
    </row>
    <row r="41" spans="1:3" s="60" customFormat="1" x14ac:dyDescent="0.25">
      <c r="A41" s="59" t="s">
        <v>898</v>
      </c>
      <c r="B41" s="30" t="s">
        <v>917</v>
      </c>
      <c r="C41" s="30"/>
    </row>
    <row r="42" spans="1:3" ht="63" x14ac:dyDescent="0.25">
      <c r="A42" s="53" t="s">
        <v>642</v>
      </c>
      <c r="B42" s="31" t="s">
        <v>918</v>
      </c>
      <c r="C42" s="31" t="s">
        <v>977</v>
      </c>
    </row>
    <row r="43" spans="1:3" ht="25.5" customHeight="1" x14ac:dyDescent="0.25">
      <c r="A43" s="53" t="s">
        <v>651</v>
      </c>
      <c r="B43" s="31" t="s">
        <v>919</v>
      </c>
      <c r="C43" s="548" t="s">
        <v>972</v>
      </c>
    </row>
    <row r="44" spans="1:3" ht="31.5" x14ac:dyDescent="0.25">
      <c r="A44" s="53" t="s">
        <v>656</v>
      </c>
      <c r="B44" s="31" t="s">
        <v>920</v>
      </c>
      <c r="C44" s="549"/>
    </row>
    <row r="45" spans="1:3" ht="78.75" x14ac:dyDescent="0.25">
      <c r="A45" s="53" t="s">
        <v>657</v>
      </c>
      <c r="B45" s="31" t="s">
        <v>921</v>
      </c>
      <c r="C45" s="31" t="s">
        <v>978</v>
      </c>
    </row>
    <row r="46" spans="1:3" ht="31.5" x14ac:dyDescent="0.25">
      <c r="A46" s="53" t="s">
        <v>661</v>
      </c>
      <c r="B46" s="31" t="s">
        <v>922</v>
      </c>
      <c r="C46" s="31" t="s">
        <v>968</v>
      </c>
    </row>
    <row r="47" spans="1:3" ht="63" x14ac:dyDescent="0.25">
      <c r="A47" s="53" t="s">
        <v>671</v>
      </c>
      <c r="B47" s="31" t="s">
        <v>923</v>
      </c>
      <c r="C47" s="31" t="s">
        <v>979</v>
      </c>
    </row>
    <row r="48" spans="1:3" ht="63" x14ac:dyDescent="0.25">
      <c r="A48" s="53" t="s">
        <v>675</v>
      </c>
      <c r="B48" s="31" t="s">
        <v>924</v>
      </c>
      <c r="C48" s="31" t="s">
        <v>980</v>
      </c>
    </row>
    <row r="49" spans="1:3" ht="47.25" x14ac:dyDescent="0.25">
      <c r="A49" s="53" t="s">
        <v>677</v>
      </c>
      <c r="B49" s="31" t="s">
        <v>925</v>
      </c>
      <c r="C49" s="31" t="s">
        <v>981</v>
      </c>
    </row>
    <row r="50" spans="1:3" ht="63" x14ac:dyDescent="0.25">
      <c r="A50" s="53" t="s">
        <v>678</v>
      </c>
      <c r="B50" s="31" t="s">
        <v>926</v>
      </c>
      <c r="C50" s="31" t="s">
        <v>980</v>
      </c>
    </row>
    <row r="51" spans="1:3" ht="31.5" x14ac:dyDescent="0.25">
      <c r="A51" s="53" t="s">
        <v>679</v>
      </c>
      <c r="B51" s="31" t="s">
        <v>927</v>
      </c>
      <c r="C51" s="31" t="s">
        <v>982</v>
      </c>
    </row>
    <row r="52" spans="1:3" ht="31.5" x14ac:dyDescent="0.25">
      <c r="A52" s="53" t="s">
        <v>680</v>
      </c>
      <c r="B52" s="31" t="s">
        <v>928</v>
      </c>
      <c r="C52" s="31" t="s">
        <v>983</v>
      </c>
    </row>
    <row r="53" spans="1:3" ht="31.5" x14ac:dyDescent="0.25">
      <c r="A53" s="53" t="s">
        <v>681</v>
      </c>
      <c r="B53" s="31" t="s">
        <v>929</v>
      </c>
      <c r="C53" s="31" t="s">
        <v>982</v>
      </c>
    </row>
    <row r="54" spans="1:3" ht="47.25" x14ac:dyDescent="0.25">
      <c r="A54" s="53" t="s">
        <v>682</v>
      </c>
      <c r="B54" s="31" t="s">
        <v>930</v>
      </c>
      <c r="C54" s="31" t="s">
        <v>984</v>
      </c>
    </row>
    <row r="55" spans="1:3" ht="47.25" x14ac:dyDescent="0.25">
      <c r="A55" s="53" t="s">
        <v>683</v>
      </c>
      <c r="B55" s="31" t="s">
        <v>931</v>
      </c>
      <c r="C55" s="31" t="s">
        <v>984</v>
      </c>
    </row>
    <row r="56" spans="1:3" ht="47.25" x14ac:dyDescent="0.25">
      <c r="A56" s="53" t="s">
        <v>684</v>
      </c>
      <c r="B56" s="31" t="s">
        <v>932</v>
      </c>
      <c r="C56" s="31" t="s">
        <v>984</v>
      </c>
    </row>
    <row r="57" spans="1:3" ht="31.5" x14ac:dyDescent="0.25">
      <c r="A57" s="53" t="s">
        <v>685</v>
      </c>
      <c r="B57" s="31" t="s">
        <v>933</v>
      </c>
      <c r="C57" s="31" t="s">
        <v>974</v>
      </c>
    </row>
    <row r="58" spans="1:3" ht="47.25" x14ac:dyDescent="0.25">
      <c r="A58" s="53" t="s">
        <v>686</v>
      </c>
      <c r="B58" s="31" t="s">
        <v>934</v>
      </c>
      <c r="C58" s="31" t="s">
        <v>984</v>
      </c>
    </row>
    <row r="59" spans="1:3" ht="31.5" x14ac:dyDescent="0.25">
      <c r="A59" s="53" t="s">
        <v>687</v>
      </c>
      <c r="B59" s="31" t="s">
        <v>935</v>
      </c>
      <c r="C59" s="31" t="s">
        <v>973</v>
      </c>
    </row>
    <row r="60" spans="1:3" x14ac:dyDescent="0.25">
      <c r="A60" s="51" t="s">
        <v>936</v>
      </c>
      <c r="B60" s="51" t="s">
        <v>937</v>
      </c>
      <c r="C60" s="51"/>
    </row>
    <row r="61" spans="1:3" ht="31.5" x14ac:dyDescent="0.25">
      <c r="A61" s="53" t="s">
        <v>688</v>
      </c>
      <c r="B61" s="31" t="s">
        <v>938</v>
      </c>
      <c r="C61" s="31" t="s">
        <v>982</v>
      </c>
    </row>
    <row r="62" spans="1:3" ht="31.5" x14ac:dyDescent="0.25">
      <c r="A62" s="53" t="s">
        <v>689</v>
      </c>
      <c r="B62" s="31" t="s">
        <v>939</v>
      </c>
      <c r="C62" s="31" t="s">
        <v>982</v>
      </c>
    </row>
    <row r="63" spans="1:3" ht="31.5" x14ac:dyDescent="0.25">
      <c r="A63" s="53" t="s">
        <v>690</v>
      </c>
      <c r="B63" s="31" t="s">
        <v>940</v>
      </c>
      <c r="C63" s="31" t="s">
        <v>983</v>
      </c>
    </row>
    <row r="64" spans="1:3" ht="47.25" x14ac:dyDescent="0.25">
      <c r="A64" s="53" t="s">
        <v>691</v>
      </c>
      <c r="B64" s="31" t="s">
        <v>941</v>
      </c>
      <c r="C64" s="31" t="s">
        <v>984</v>
      </c>
    </row>
    <row r="65" spans="1:3" ht="47.25" x14ac:dyDescent="0.25">
      <c r="A65" s="53" t="s">
        <v>692</v>
      </c>
      <c r="B65" s="31" t="s">
        <v>942</v>
      </c>
      <c r="C65" s="31" t="s">
        <v>984</v>
      </c>
    </row>
    <row r="66" spans="1:3" ht="47.25" x14ac:dyDescent="0.25">
      <c r="A66" s="53" t="s">
        <v>693</v>
      </c>
      <c r="B66" s="31" t="s">
        <v>943</v>
      </c>
      <c r="C66" s="31" t="s">
        <v>984</v>
      </c>
    </row>
    <row r="67" spans="1:3" ht="31.5" x14ac:dyDescent="0.25">
      <c r="A67" s="53" t="s">
        <v>694</v>
      </c>
      <c r="B67" s="31" t="s">
        <v>944</v>
      </c>
      <c r="C67" s="31" t="s">
        <v>973</v>
      </c>
    </row>
    <row r="68" spans="1:3" ht="47.25" x14ac:dyDescent="0.25">
      <c r="A68" s="53" t="s">
        <v>797</v>
      </c>
      <c r="B68" s="31" t="s">
        <v>945</v>
      </c>
      <c r="C68" s="31" t="s">
        <v>985</v>
      </c>
    </row>
    <row r="69" spans="1:3" ht="31.5" x14ac:dyDescent="0.25">
      <c r="A69" s="53" t="s">
        <v>801</v>
      </c>
      <c r="B69" s="31" t="s">
        <v>946</v>
      </c>
      <c r="C69" s="31" t="s">
        <v>973</v>
      </c>
    </row>
    <row r="70" spans="1:3" ht="31.5" x14ac:dyDescent="0.25">
      <c r="A70" s="53" t="s">
        <v>804</v>
      </c>
      <c r="B70" s="31" t="s">
        <v>947</v>
      </c>
      <c r="C70" s="31" t="s">
        <v>973</v>
      </c>
    </row>
    <row r="71" spans="1:3" ht="47.25" x14ac:dyDescent="0.25">
      <c r="A71" s="53" t="s">
        <v>816</v>
      </c>
      <c r="B71" s="31" t="s">
        <v>948</v>
      </c>
      <c r="C71" s="31" t="s">
        <v>984</v>
      </c>
    </row>
    <row r="72" spans="1:3" ht="47.25" x14ac:dyDescent="0.25">
      <c r="A72" s="53" t="s">
        <v>826</v>
      </c>
      <c r="B72" s="31" t="s">
        <v>949</v>
      </c>
      <c r="C72" s="31" t="s">
        <v>984</v>
      </c>
    </row>
    <row r="73" spans="1:3" ht="31.5" x14ac:dyDescent="0.25">
      <c r="A73" s="53" t="s">
        <v>844</v>
      </c>
      <c r="B73" s="31" t="s">
        <v>950</v>
      </c>
      <c r="C73" s="31" t="s">
        <v>982</v>
      </c>
    </row>
    <row r="74" spans="1:3" ht="47.25" x14ac:dyDescent="0.25">
      <c r="A74" s="53" t="s">
        <v>849</v>
      </c>
      <c r="B74" s="31" t="s">
        <v>951</v>
      </c>
      <c r="C74" s="31" t="s">
        <v>984</v>
      </c>
    </row>
    <row r="75" spans="1:3" ht="63" x14ac:dyDescent="0.25">
      <c r="A75" s="53" t="s">
        <v>856</v>
      </c>
      <c r="B75" s="31" t="s">
        <v>952</v>
      </c>
      <c r="C75" s="31" t="s">
        <v>971</v>
      </c>
    </row>
    <row r="76" spans="1:3" ht="47.25" x14ac:dyDescent="0.25">
      <c r="A76" s="53" t="s">
        <v>864</v>
      </c>
      <c r="B76" s="31" t="s">
        <v>953</v>
      </c>
      <c r="C76" s="31" t="s">
        <v>969</v>
      </c>
    </row>
    <row r="77" spans="1:3" ht="31.5" x14ac:dyDescent="0.25">
      <c r="A77" s="53" t="s">
        <v>871</v>
      </c>
      <c r="B77" s="31" t="s">
        <v>954</v>
      </c>
      <c r="C77" s="31" t="s">
        <v>970</v>
      </c>
    </row>
  </sheetData>
  <mergeCells count="6">
    <mergeCell ref="C43:C44"/>
    <mergeCell ref="A2:C2"/>
    <mergeCell ref="A1:C1"/>
    <mergeCell ref="C8:C11"/>
    <mergeCell ref="C19:C27"/>
    <mergeCell ref="C31:C32"/>
  </mergeCells>
  <hyperlinks>
    <hyperlink ref="A5" location="'01'!A1" display="Biểu mẫu số 01"/>
    <hyperlink ref="A6" location="'02'!A1" display="Biểu mẫu số 02"/>
    <hyperlink ref="A8" location="'03'!A1" display="Biểu mẫu số 03"/>
    <hyperlink ref="A9" location="'04'!A1" display="Biểu mẫu số 04"/>
    <hyperlink ref="A10" location="'05'!A1" display="Biểu mẫu số 05"/>
    <hyperlink ref="A11" location="'06'!A1" display="Biểu mẫu số 06"/>
    <hyperlink ref="A13" location="'07'!A1" display="Biểu mẫu số 07"/>
    <hyperlink ref="A14" location="'08'!A1" display="Biểu mẫu số 08"/>
    <hyperlink ref="A15" location="'09'!A1" display="Biểu mẫu số 09"/>
    <hyperlink ref="A16" location="'10'!A1" display="Biểu mẫu số 10"/>
    <hyperlink ref="A17" location="'11'!A1" display="Biểu mẫu số 11"/>
    <hyperlink ref="A20" location="'12'!A1" display="Biểu mẫu số 12"/>
    <hyperlink ref="A21" location="'13'!A1" display="Biểu mẫu số 13"/>
    <hyperlink ref="A22" location="'14'!A1" display="Biểu mẫu số 14"/>
    <hyperlink ref="A24" location="'15'!A1" display="Biểu mẫu số 15"/>
    <hyperlink ref="A25" location="'16'!A1" display="Biểu mẫu số 16"/>
    <hyperlink ref="A26" location="'17'!A1" display="Biểu mẫu số 17"/>
    <hyperlink ref="A27" location="'18'!A1" display="Biểu mẫu số 18"/>
    <hyperlink ref="A30" location="'19'!A1" display="Biểu mẫu số 19"/>
    <hyperlink ref="A31" location="'20'!A1" display="Biểu mẫu số 20"/>
    <hyperlink ref="A32" location="'21'!A1" display="Biểu mẫu số 21"/>
    <hyperlink ref="A33" location="'22'!A1" display="Biểu mẫu số 22"/>
    <hyperlink ref="A34" location="'23'!A1" display="Biểu mẫu số 23"/>
    <hyperlink ref="A35" location="'24'!A1" display="Biểu mẫu số 24"/>
    <hyperlink ref="A36" location="'25'!A1" display="Biểu mẫu số 25"/>
    <hyperlink ref="A37" location="'26'!A1" display="Biểu mẫu số 26"/>
    <hyperlink ref="A38" location="'27'!A1" display="Biểu mẫu số 27"/>
    <hyperlink ref="A39" location="'28'!A1" display="Biểu mẫu số 28"/>
    <hyperlink ref="A40" location="'29'!A1" display="Biểu mẫu số 29"/>
    <hyperlink ref="A42" location="'30'!A1" display="Biểu mẫu số 30"/>
    <hyperlink ref="A43" location="'31'!A1" display="Biểu mẫu số 31"/>
    <hyperlink ref="A44" location="'32'!A1" display="Biểu mẫu số 32"/>
    <hyperlink ref="A45" location="'33'!A1" display="Biểu mẫu số 33"/>
    <hyperlink ref="A46" location="'34'!A1" display="Biểu mẫu số 34"/>
    <hyperlink ref="A47" location="'35'!A1" display="Biểu mẫu số 35"/>
    <hyperlink ref="A48" location="'36'!A1" display="Biểu mẫu số 36"/>
    <hyperlink ref="A49" location="'37'!A1" display="Biểu mẫu số 37"/>
    <hyperlink ref="A50" location="'38'!A1" display="Biểu mẫu số 38"/>
    <hyperlink ref="A51" location="'39'!A1" display="Biểu mẫu số 39"/>
    <hyperlink ref="A52" location="'40'!A1" display="Biểu mẫu số 40"/>
    <hyperlink ref="A53" location="'41'!A1" display="Biểu mẫu số 41"/>
    <hyperlink ref="A54" location="'42'!A1" display="Biểu mẫu số 42"/>
    <hyperlink ref="A55" location="'43'!A1" display="Biểu mẫu số 43"/>
    <hyperlink ref="A56" location="'44'!A1" display="Biểu mẫu số 44"/>
    <hyperlink ref="A57" location="'45'!A1" display="Biểu mẫu số 45"/>
    <hyperlink ref="A58" location="'46'!A1" display="Biểu mẫu số 46"/>
    <hyperlink ref="A59" location="'47'!A1" display="Biểu mẫu số 47"/>
    <hyperlink ref="A61" location="'48'!A1" display="Biểu mẫu số 48"/>
    <hyperlink ref="A62" location="'49'!A1" display="Biểu mẫu số 49"/>
    <hyperlink ref="A63" location="'50'!A1" display="Biểu mẫu số 50"/>
    <hyperlink ref="A64" location="'51'!A1" display="Biểu mẫu số 51"/>
    <hyperlink ref="A65" location="'52'!A1" display="Biểu mẫu số 52"/>
    <hyperlink ref="A66" location="'53'!A1" display="Biểu mẫu số 53"/>
    <hyperlink ref="A67" location="'54'!A1" display="Biểu mẫu số 54"/>
    <hyperlink ref="A68" location="'55'!A1" display="Biểu mẫu số 55"/>
    <hyperlink ref="A69" location="'56'!A1" display="Biểu mẫu số 56"/>
    <hyperlink ref="A70" location="'57'!A1" display="Biểu mẫu số 57"/>
    <hyperlink ref="A71" location="'58'!A1" display="Biểu mẫu số 58"/>
    <hyperlink ref="A72" location="'59'!A1" display="Biểu mẫu số 59"/>
    <hyperlink ref="A73" location="'60'!A1" display="Biểu mẫu số 60"/>
    <hyperlink ref="A74" location="'61'!A1" display="Biểu mẫu số 61"/>
    <hyperlink ref="A75" location="'62'!A1" display="Biểu mẫu số 62"/>
    <hyperlink ref="A76" location="'63'!A1" display="Biểu mẫu số 63"/>
    <hyperlink ref="A77" location="'64'!A1" display="Biểu mẫu số 64"/>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sheetPr>
  <dimension ref="A1:G37"/>
  <sheetViews>
    <sheetView workbookViewId="0">
      <selection activeCell="E33" sqref="E33"/>
    </sheetView>
  </sheetViews>
  <sheetFormatPr defaultColWidth="9.28515625" defaultRowHeight="15" x14ac:dyDescent="0.25"/>
  <cols>
    <col min="1" max="1" width="5.42578125" style="1" customWidth="1"/>
    <col min="2" max="2" width="42.28515625" style="1" customWidth="1"/>
    <col min="3" max="4" width="11" style="1" customWidth="1"/>
    <col min="5" max="6" width="10.5703125" style="1" customWidth="1"/>
    <col min="7" max="7" width="10" style="1" customWidth="1"/>
    <col min="8" max="16384" width="9.28515625" style="1"/>
  </cols>
  <sheetData>
    <row r="1" spans="1:7" x14ac:dyDescent="0.25">
      <c r="A1" s="571" t="s">
        <v>294</v>
      </c>
      <c r="B1" s="571"/>
      <c r="C1" s="571"/>
      <c r="D1" s="571"/>
      <c r="E1" s="571"/>
      <c r="F1" s="571"/>
      <c r="G1" s="571"/>
    </row>
    <row r="2" spans="1:7" ht="45.75" customHeight="1" x14ac:dyDescent="0.25">
      <c r="A2" s="554" t="s">
        <v>295</v>
      </c>
      <c r="B2" s="554"/>
      <c r="C2" s="554"/>
      <c r="D2" s="554"/>
      <c r="E2" s="554"/>
      <c r="F2" s="554"/>
      <c r="G2" s="554"/>
    </row>
    <row r="3" spans="1:7" x14ac:dyDescent="0.25">
      <c r="A3" s="572" t="s">
        <v>226</v>
      </c>
      <c r="B3" s="572"/>
      <c r="C3" s="572"/>
      <c r="D3" s="572"/>
      <c r="E3" s="572"/>
      <c r="F3" s="572"/>
      <c r="G3" s="572"/>
    </row>
    <row r="4" spans="1:7" x14ac:dyDescent="0.25">
      <c r="F4" s="561" t="s">
        <v>56</v>
      </c>
      <c r="G4" s="561"/>
    </row>
    <row r="5" spans="1:7" ht="57" x14ac:dyDescent="0.25">
      <c r="A5" s="2" t="s">
        <v>3</v>
      </c>
      <c r="B5" s="2" t="s">
        <v>4</v>
      </c>
      <c r="C5" s="2" t="s">
        <v>296</v>
      </c>
      <c r="D5" s="2" t="s">
        <v>297</v>
      </c>
      <c r="E5" s="2" t="s">
        <v>298</v>
      </c>
      <c r="F5" s="2" t="s">
        <v>231</v>
      </c>
      <c r="G5" s="2" t="s">
        <v>232</v>
      </c>
    </row>
    <row r="6" spans="1:7" x14ac:dyDescent="0.25">
      <c r="A6" s="2" t="s">
        <v>15</v>
      </c>
      <c r="B6" s="2" t="s">
        <v>16</v>
      </c>
      <c r="C6" s="2">
        <v>1</v>
      </c>
      <c r="D6" s="2">
        <v>2</v>
      </c>
      <c r="E6" s="2">
        <v>3</v>
      </c>
      <c r="F6" s="2">
        <v>4</v>
      </c>
      <c r="G6" s="2">
        <v>5</v>
      </c>
    </row>
    <row r="7" spans="1:7" x14ac:dyDescent="0.25">
      <c r="A7" s="2" t="s">
        <v>15</v>
      </c>
      <c r="B7" s="14" t="s">
        <v>299</v>
      </c>
      <c r="C7" s="55"/>
      <c r="D7" s="55"/>
      <c r="E7" s="55"/>
      <c r="F7" s="55"/>
      <c r="G7" s="55"/>
    </row>
    <row r="8" spans="1:7" x14ac:dyDescent="0.25">
      <c r="A8" s="2" t="s">
        <v>83</v>
      </c>
      <c r="B8" s="14" t="s">
        <v>300</v>
      </c>
      <c r="C8" s="57">
        <f>+C9+C10+C13+C14+C15</f>
        <v>0</v>
      </c>
      <c r="D8" s="57">
        <f>+D9+D10+D13+D14+D15</f>
        <v>0</v>
      </c>
      <c r="E8" s="57">
        <f>+E9+E10+E13+E14+E15</f>
        <v>0</v>
      </c>
      <c r="F8" s="57">
        <f>+F9+F10+F13+F14+F15</f>
        <v>0</v>
      </c>
      <c r="G8" s="57">
        <f>+G9+G10+G13+G14+G15</f>
        <v>0</v>
      </c>
    </row>
    <row r="9" spans="1:7" x14ac:dyDescent="0.25">
      <c r="A9" s="3">
        <v>1</v>
      </c>
      <c r="B9" s="4" t="s">
        <v>301</v>
      </c>
      <c r="C9" s="55"/>
      <c r="D9" s="55"/>
      <c r="E9" s="55"/>
      <c r="F9" s="55"/>
      <c r="G9" s="55"/>
    </row>
    <row r="10" spans="1:7" x14ac:dyDescent="0.25">
      <c r="A10" s="3">
        <v>2</v>
      </c>
      <c r="B10" s="4" t="s">
        <v>302</v>
      </c>
      <c r="C10" s="55">
        <f>SUM(C11:C12)</f>
        <v>0</v>
      </c>
      <c r="D10" s="55">
        <f>SUM(D11:D12)</f>
        <v>0</v>
      </c>
      <c r="E10" s="55">
        <f>SUM(E11:E12)</f>
        <v>0</v>
      </c>
      <c r="F10" s="55">
        <f>SUM(F11:F12)</f>
        <v>0</v>
      </c>
      <c r="G10" s="55">
        <f>SUM(G11:G12)</f>
        <v>0</v>
      </c>
    </row>
    <row r="11" spans="1:7" x14ac:dyDescent="0.25">
      <c r="A11" s="3" t="s">
        <v>22</v>
      </c>
      <c r="B11" s="4" t="s">
        <v>240</v>
      </c>
      <c r="C11" s="55"/>
      <c r="D11" s="55"/>
      <c r="E11" s="55"/>
      <c r="F11" s="55"/>
      <c r="G11" s="55"/>
    </row>
    <row r="12" spans="1:7" x14ac:dyDescent="0.25">
      <c r="A12" s="3" t="s">
        <v>22</v>
      </c>
      <c r="B12" s="4" t="s">
        <v>88</v>
      </c>
      <c r="C12" s="55"/>
      <c r="D12" s="55"/>
      <c r="E12" s="55"/>
      <c r="F12" s="55"/>
      <c r="G12" s="55"/>
    </row>
    <row r="13" spans="1:7" x14ac:dyDescent="0.25">
      <c r="A13" s="3">
        <v>3</v>
      </c>
      <c r="B13" s="4" t="s">
        <v>241</v>
      </c>
      <c r="C13" s="55"/>
      <c r="D13" s="55"/>
      <c r="E13" s="55"/>
      <c r="F13" s="55"/>
      <c r="G13" s="55"/>
    </row>
    <row r="14" spans="1:7" x14ac:dyDescent="0.25">
      <c r="A14" s="3">
        <v>4</v>
      </c>
      <c r="B14" s="4" t="s">
        <v>303</v>
      </c>
      <c r="C14" s="55"/>
      <c r="D14" s="55"/>
      <c r="E14" s="55"/>
      <c r="F14" s="55"/>
      <c r="G14" s="55"/>
    </row>
    <row r="15" spans="1:7" x14ac:dyDescent="0.25">
      <c r="A15" s="3">
        <v>5</v>
      </c>
      <c r="B15" s="4" t="s">
        <v>243</v>
      </c>
      <c r="C15" s="55"/>
      <c r="D15" s="55"/>
      <c r="E15" s="55"/>
      <c r="F15" s="55"/>
      <c r="G15" s="55"/>
    </row>
    <row r="16" spans="1:7" x14ac:dyDescent="0.25">
      <c r="A16" s="2" t="s">
        <v>70</v>
      </c>
      <c r="B16" s="14" t="s">
        <v>304</v>
      </c>
      <c r="C16" s="57">
        <f>+C17+C18+C21</f>
        <v>0</v>
      </c>
      <c r="D16" s="57">
        <f>+D17+D18+D21</f>
        <v>0</v>
      </c>
      <c r="E16" s="57">
        <f>+E17+E18+E21</f>
        <v>0</v>
      </c>
      <c r="F16" s="57">
        <f>+F17+F18+F21</f>
        <v>0</v>
      </c>
      <c r="G16" s="57">
        <f>+G17+G18+G21</f>
        <v>0</v>
      </c>
    </row>
    <row r="17" spans="1:7" x14ac:dyDescent="0.25">
      <c r="A17" s="3">
        <v>1</v>
      </c>
      <c r="B17" s="4" t="s">
        <v>305</v>
      </c>
      <c r="C17" s="55"/>
      <c r="D17" s="55"/>
      <c r="E17" s="55"/>
      <c r="F17" s="55"/>
      <c r="G17" s="55"/>
    </row>
    <row r="18" spans="1:7" x14ac:dyDescent="0.25">
      <c r="A18" s="3">
        <v>2</v>
      </c>
      <c r="B18" s="4" t="s">
        <v>306</v>
      </c>
      <c r="C18" s="55">
        <f>SUM(C19:C20)</f>
        <v>0</v>
      </c>
      <c r="D18" s="55">
        <f>SUM(D19:D20)</f>
        <v>0</v>
      </c>
      <c r="E18" s="55">
        <f>SUM(E19:E20)</f>
        <v>0</v>
      </c>
      <c r="F18" s="55">
        <f>SUM(F19:F20)</f>
        <v>0</v>
      </c>
      <c r="G18" s="55">
        <f>SUM(G19:G20)</f>
        <v>0</v>
      </c>
    </row>
    <row r="19" spans="1:7" x14ac:dyDescent="0.25">
      <c r="A19" s="3" t="s">
        <v>22</v>
      </c>
      <c r="B19" s="4" t="s">
        <v>307</v>
      </c>
      <c r="C19" s="55"/>
      <c r="D19" s="55"/>
      <c r="E19" s="55"/>
      <c r="F19" s="55"/>
      <c r="G19" s="55"/>
    </row>
    <row r="20" spans="1:7" x14ac:dyDescent="0.25">
      <c r="A20" s="3" t="s">
        <v>22</v>
      </c>
      <c r="B20" s="4" t="s">
        <v>308</v>
      </c>
      <c r="C20" s="55"/>
      <c r="D20" s="55"/>
      <c r="E20" s="55"/>
      <c r="F20" s="55"/>
      <c r="G20" s="55"/>
    </row>
    <row r="21" spans="1:7" x14ac:dyDescent="0.25">
      <c r="A21" s="3">
        <v>3</v>
      </c>
      <c r="B21" s="4" t="s">
        <v>251</v>
      </c>
      <c r="C21" s="55"/>
      <c r="D21" s="55"/>
      <c r="E21" s="55"/>
      <c r="F21" s="55"/>
      <c r="G21" s="55"/>
    </row>
    <row r="22" spans="1:7" x14ac:dyDescent="0.25">
      <c r="A22" s="2" t="s">
        <v>73</v>
      </c>
      <c r="B22" s="14" t="s">
        <v>309</v>
      </c>
      <c r="C22" s="57">
        <f>+C8-C16</f>
        <v>0</v>
      </c>
      <c r="D22" s="57">
        <f>+D8-D16</f>
        <v>0</v>
      </c>
      <c r="E22" s="57">
        <f>+E8-E16</f>
        <v>0</v>
      </c>
      <c r="F22" s="57">
        <f>+F8-F16</f>
        <v>0</v>
      </c>
      <c r="G22" s="57">
        <f>+G8-G16</f>
        <v>0</v>
      </c>
    </row>
    <row r="23" spans="1:7" x14ac:dyDescent="0.25">
      <c r="A23" s="2" t="s">
        <v>16</v>
      </c>
      <c r="B23" s="14" t="s">
        <v>310</v>
      </c>
      <c r="C23" s="55"/>
      <c r="D23" s="55"/>
      <c r="E23" s="55"/>
      <c r="F23" s="55"/>
      <c r="G23" s="55"/>
    </row>
    <row r="24" spans="1:7" x14ac:dyDescent="0.25">
      <c r="A24" s="2" t="s">
        <v>83</v>
      </c>
      <c r="B24" s="14" t="s">
        <v>300</v>
      </c>
      <c r="C24" s="57">
        <f>+C25+C26+C29+C30</f>
        <v>0</v>
      </c>
      <c r="D24" s="57">
        <f>+D25+D26+D29+D30</f>
        <v>0</v>
      </c>
      <c r="E24" s="57">
        <f>+E25+E26+E29+E30</f>
        <v>0</v>
      </c>
      <c r="F24" s="57">
        <f>+F25+F26+F29+F30</f>
        <v>0</v>
      </c>
      <c r="G24" s="57">
        <f>+G25+G26+G29+G30</f>
        <v>0</v>
      </c>
    </row>
    <row r="25" spans="1:7" x14ac:dyDescent="0.25">
      <c r="A25" s="3">
        <v>1</v>
      </c>
      <c r="B25" s="4" t="s">
        <v>301</v>
      </c>
      <c r="C25" s="55"/>
      <c r="D25" s="55"/>
      <c r="E25" s="55"/>
      <c r="F25" s="55"/>
      <c r="G25" s="55"/>
    </row>
    <row r="26" spans="1:7" x14ac:dyDescent="0.25">
      <c r="A26" s="3">
        <v>2</v>
      </c>
      <c r="B26" s="4" t="s">
        <v>302</v>
      </c>
      <c r="C26" s="55">
        <f>SUM(C27:C28)</f>
        <v>0</v>
      </c>
      <c r="D26" s="55">
        <f>SUM(D27:D28)</f>
        <v>0</v>
      </c>
      <c r="E26" s="55">
        <f>SUM(E27:E28)</f>
        <v>0</v>
      </c>
      <c r="F26" s="55">
        <f>SUM(F27:F28)</f>
        <v>0</v>
      </c>
      <c r="G26" s="55">
        <f>SUM(G27:G28)</f>
        <v>0</v>
      </c>
    </row>
    <row r="27" spans="1:7" x14ac:dyDescent="0.25">
      <c r="A27" s="3" t="s">
        <v>22</v>
      </c>
      <c r="B27" s="4" t="s">
        <v>240</v>
      </c>
      <c r="C27" s="55"/>
      <c r="D27" s="55"/>
      <c r="E27" s="55"/>
      <c r="F27" s="55"/>
      <c r="G27" s="55"/>
    </row>
    <row r="28" spans="1:7" x14ac:dyDescent="0.25">
      <c r="A28" s="3" t="s">
        <v>22</v>
      </c>
      <c r="B28" s="4" t="s">
        <v>88</v>
      </c>
      <c r="C28" s="55"/>
      <c r="D28" s="55"/>
      <c r="E28" s="55"/>
      <c r="F28" s="55"/>
      <c r="G28" s="55"/>
    </row>
    <row r="29" spans="1:7" x14ac:dyDescent="0.25">
      <c r="A29" s="3">
        <v>3</v>
      </c>
      <c r="B29" s="4" t="s">
        <v>303</v>
      </c>
      <c r="C29" s="55"/>
      <c r="D29" s="55"/>
      <c r="E29" s="55"/>
      <c r="F29" s="55"/>
      <c r="G29" s="55"/>
    </row>
    <row r="30" spans="1:7" x14ac:dyDescent="0.25">
      <c r="A30" s="3">
        <v>4</v>
      </c>
      <c r="B30" s="4" t="s">
        <v>243</v>
      </c>
      <c r="C30" s="55"/>
      <c r="D30" s="55"/>
      <c r="E30" s="55"/>
      <c r="F30" s="55"/>
      <c r="G30" s="55"/>
    </row>
    <row r="31" spans="1:7" x14ac:dyDescent="0.25">
      <c r="A31" s="2" t="s">
        <v>70</v>
      </c>
      <c r="B31" s="14" t="s">
        <v>311</v>
      </c>
      <c r="C31" s="57">
        <f>+C32+C33+C36</f>
        <v>0</v>
      </c>
      <c r="D31" s="57">
        <f>+D32+D33+D36</f>
        <v>0</v>
      </c>
      <c r="E31" s="57">
        <f>+E32+E33+E36</f>
        <v>0</v>
      </c>
      <c r="F31" s="57">
        <f>+F32+F33+F36</f>
        <v>0</v>
      </c>
      <c r="G31" s="57">
        <f>+G32+G33+G36</f>
        <v>0</v>
      </c>
    </row>
    <row r="32" spans="1:7" x14ac:dyDescent="0.25">
      <c r="A32" s="3">
        <v>1</v>
      </c>
      <c r="B32" s="4" t="s">
        <v>312</v>
      </c>
      <c r="C32" s="55"/>
      <c r="D32" s="55"/>
      <c r="E32" s="55"/>
      <c r="F32" s="55"/>
      <c r="G32" s="55"/>
    </row>
    <row r="33" spans="1:7" x14ac:dyDescent="0.25">
      <c r="A33" s="3">
        <v>2</v>
      </c>
      <c r="B33" s="4" t="s">
        <v>313</v>
      </c>
      <c r="C33" s="55">
        <f>SUM(C34:C35)</f>
        <v>0</v>
      </c>
      <c r="D33" s="55">
        <f>SUM(D34:D35)</f>
        <v>0</v>
      </c>
      <c r="E33" s="55">
        <f>SUM(E34:E35)</f>
        <v>0</v>
      </c>
      <c r="F33" s="55">
        <f>SUM(F34:F35)</f>
        <v>0</v>
      </c>
      <c r="G33" s="55">
        <f>SUM(G34:G35)</f>
        <v>0</v>
      </c>
    </row>
    <row r="34" spans="1:7" x14ac:dyDescent="0.25">
      <c r="A34" s="3" t="s">
        <v>22</v>
      </c>
      <c r="B34" s="4" t="s">
        <v>307</v>
      </c>
      <c r="C34" s="55"/>
      <c r="D34" s="55"/>
      <c r="E34" s="55"/>
      <c r="F34" s="55"/>
      <c r="G34" s="55"/>
    </row>
    <row r="35" spans="1:7" x14ac:dyDescent="0.25">
      <c r="A35" s="3" t="s">
        <v>22</v>
      </c>
      <c r="B35" s="4" t="s">
        <v>308</v>
      </c>
      <c r="C35" s="55"/>
      <c r="D35" s="55"/>
      <c r="E35" s="55"/>
      <c r="F35" s="55"/>
      <c r="G35" s="55"/>
    </row>
    <row r="36" spans="1:7" x14ac:dyDescent="0.25">
      <c r="A36" s="3">
        <v>3</v>
      </c>
      <c r="B36" s="4" t="s">
        <v>251</v>
      </c>
      <c r="C36" s="55"/>
      <c r="D36" s="55"/>
      <c r="E36" s="55"/>
      <c r="F36" s="55"/>
      <c r="G36" s="55"/>
    </row>
    <row r="37" spans="1:7" ht="39" customHeight="1" x14ac:dyDescent="0.25">
      <c r="A37" s="573" t="s">
        <v>314</v>
      </c>
      <c r="B37" s="573"/>
      <c r="C37" s="573"/>
      <c r="D37" s="573"/>
      <c r="E37" s="573"/>
      <c r="F37" s="573"/>
      <c r="G37" s="573"/>
    </row>
  </sheetData>
  <mergeCells count="5">
    <mergeCell ref="A1:G1"/>
    <mergeCell ref="A2:G2"/>
    <mergeCell ref="A3:G3"/>
    <mergeCell ref="F4:G4"/>
    <mergeCell ref="A37:G37"/>
  </mergeCells>
  <pageMargins left="0.61" right="0.43307086614173229" top="0.74803149606299213" bottom="0.7480314960629921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sheetPr>
  <dimension ref="A1:G25"/>
  <sheetViews>
    <sheetView workbookViewId="0">
      <selection activeCell="E33" sqref="E33"/>
    </sheetView>
  </sheetViews>
  <sheetFormatPr defaultColWidth="9.28515625" defaultRowHeight="15" x14ac:dyDescent="0.25"/>
  <cols>
    <col min="1" max="1" width="6" style="1" customWidth="1"/>
    <col min="2" max="2" width="53.28515625" style="1" customWidth="1"/>
    <col min="3" max="7" width="9.42578125" style="1" customWidth="1"/>
    <col min="8" max="16384" width="9.28515625" style="1"/>
  </cols>
  <sheetData>
    <row r="1" spans="1:7" x14ac:dyDescent="0.25">
      <c r="A1" s="571" t="s">
        <v>315</v>
      </c>
      <c r="B1" s="571"/>
      <c r="C1" s="571"/>
      <c r="D1" s="571"/>
      <c r="E1" s="571"/>
      <c r="F1" s="571"/>
      <c r="G1" s="571"/>
    </row>
    <row r="2" spans="1:7" ht="24" customHeight="1" x14ac:dyDescent="0.25">
      <c r="A2" s="554" t="s">
        <v>316</v>
      </c>
      <c r="B2" s="554"/>
      <c r="C2" s="554"/>
      <c r="D2" s="554"/>
      <c r="E2" s="554"/>
      <c r="F2" s="554"/>
      <c r="G2" s="554"/>
    </row>
    <row r="3" spans="1:7" x14ac:dyDescent="0.25">
      <c r="A3" s="572" t="s">
        <v>226</v>
      </c>
      <c r="B3" s="572"/>
      <c r="C3" s="572"/>
      <c r="D3" s="572"/>
      <c r="E3" s="572"/>
      <c r="F3" s="572"/>
      <c r="G3" s="572"/>
    </row>
    <row r="4" spans="1:7" x14ac:dyDescent="0.25">
      <c r="F4" s="574" t="s">
        <v>56</v>
      </c>
      <c r="G4" s="574"/>
    </row>
    <row r="5" spans="1:7" ht="73.5" customHeight="1" x14ac:dyDescent="0.25">
      <c r="A5" s="2" t="s">
        <v>3</v>
      </c>
      <c r="B5" s="2" t="s">
        <v>4</v>
      </c>
      <c r="C5" s="2" t="s">
        <v>296</v>
      </c>
      <c r="D5" s="2" t="s">
        <v>230</v>
      </c>
      <c r="E5" s="2" t="s">
        <v>229</v>
      </c>
      <c r="F5" s="2" t="s">
        <v>231</v>
      </c>
      <c r="G5" s="2" t="s">
        <v>232</v>
      </c>
    </row>
    <row r="6" spans="1:7" x14ac:dyDescent="0.25">
      <c r="A6" s="2" t="s">
        <v>15</v>
      </c>
      <c r="B6" s="2" t="s">
        <v>16</v>
      </c>
      <c r="C6" s="2">
        <v>1</v>
      </c>
      <c r="D6" s="2">
        <v>2</v>
      </c>
      <c r="E6" s="2" t="s">
        <v>269</v>
      </c>
      <c r="F6" s="2">
        <v>4</v>
      </c>
      <c r="G6" s="2">
        <v>5</v>
      </c>
    </row>
    <row r="7" spans="1:7" x14ac:dyDescent="0.25">
      <c r="A7" s="2"/>
      <c r="B7" s="14" t="s">
        <v>317</v>
      </c>
      <c r="C7" s="3"/>
      <c r="D7" s="3"/>
      <c r="E7" s="3"/>
      <c r="F7" s="3"/>
      <c r="G7" s="3"/>
    </row>
    <row r="8" spans="1:7" x14ac:dyDescent="0.25">
      <c r="A8" s="2" t="s">
        <v>15</v>
      </c>
      <c r="B8" s="14" t="s">
        <v>318</v>
      </c>
      <c r="C8" s="3"/>
      <c r="D8" s="3"/>
      <c r="E8" s="3"/>
      <c r="F8" s="3"/>
      <c r="G8" s="3"/>
    </row>
    <row r="9" spans="1:7" x14ac:dyDescent="0.25">
      <c r="A9" s="2" t="s">
        <v>83</v>
      </c>
      <c r="B9" s="14" t="s">
        <v>319</v>
      </c>
      <c r="C9" s="3"/>
      <c r="D9" s="3"/>
      <c r="E9" s="3"/>
      <c r="F9" s="3"/>
      <c r="G9" s="3"/>
    </row>
    <row r="10" spans="1:7" x14ac:dyDescent="0.25">
      <c r="A10" s="2" t="s">
        <v>70</v>
      </c>
      <c r="B10" s="14" t="s">
        <v>308</v>
      </c>
      <c r="C10" s="3"/>
      <c r="D10" s="3"/>
      <c r="E10" s="3"/>
      <c r="F10" s="3"/>
      <c r="G10" s="3"/>
    </row>
    <row r="11" spans="1:7" x14ac:dyDescent="0.25">
      <c r="A11" s="2" t="s">
        <v>16</v>
      </c>
      <c r="B11" s="14" t="s">
        <v>320</v>
      </c>
      <c r="C11" s="3"/>
      <c r="D11" s="3"/>
      <c r="E11" s="3"/>
      <c r="F11" s="3"/>
      <c r="G11" s="3"/>
    </row>
    <row r="12" spans="1:7" x14ac:dyDescent="0.25">
      <c r="A12" s="2" t="s">
        <v>83</v>
      </c>
      <c r="B12" s="14" t="s">
        <v>93</v>
      </c>
      <c r="C12" s="3"/>
      <c r="D12" s="3"/>
      <c r="E12" s="3"/>
      <c r="F12" s="3"/>
      <c r="G12" s="3"/>
    </row>
    <row r="13" spans="1:7" x14ac:dyDescent="0.25">
      <c r="A13" s="3">
        <v>1</v>
      </c>
      <c r="B13" s="4" t="s">
        <v>321</v>
      </c>
      <c r="C13" s="3"/>
      <c r="D13" s="3"/>
      <c r="E13" s="3"/>
      <c r="F13" s="3"/>
      <c r="G13" s="3"/>
    </row>
    <row r="14" spans="1:7" x14ac:dyDescent="0.25">
      <c r="A14" s="22"/>
      <c r="B14" s="5" t="s">
        <v>134</v>
      </c>
      <c r="C14" s="3"/>
      <c r="D14" s="3"/>
      <c r="E14" s="3"/>
      <c r="F14" s="3"/>
      <c r="G14" s="3"/>
    </row>
    <row r="15" spans="1:7" x14ac:dyDescent="0.25">
      <c r="A15" s="22" t="s">
        <v>22</v>
      </c>
      <c r="B15" s="5" t="s">
        <v>249</v>
      </c>
      <c r="C15" s="3"/>
      <c r="D15" s="3"/>
      <c r="E15" s="3"/>
      <c r="F15" s="3"/>
      <c r="G15" s="3"/>
    </row>
    <row r="16" spans="1:7" x14ac:dyDescent="0.25">
      <c r="A16" s="22" t="s">
        <v>22</v>
      </c>
      <c r="B16" s="5" t="s">
        <v>322</v>
      </c>
      <c r="C16" s="3"/>
      <c r="D16" s="3"/>
      <c r="E16" s="3"/>
      <c r="F16" s="3"/>
      <c r="G16" s="3"/>
    </row>
    <row r="17" spans="1:7" ht="60" x14ac:dyDescent="0.25">
      <c r="A17" s="3">
        <v>2</v>
      </c>
      <c r="B17" s="4" t="s">
        <v>323</v>
      </c>
      <c r="C17" s="3"/>
      <c r="D17" s="3"/>
      <c r="E17" s="3"/>
      <c r="F17" s="3"/>
      <c r="G17" s="3"/>
    </row>
    <row r="18" spans="1:7" x14ac:dyDescent="0.25">
      <c r="A18" s="2" t="s">
        <v>70</v>
      </c>
      <c r="B18" s="14" t="s">
        <v>324</v>
      </c>
      <c r="C18" s="3"/>
      <c r="D18" s="3"/>
      <c r="E18" s="3"/>
      <c r="F18" s="3"/>
      <c r="G18" s="3"/>
    </row>
    <row r="19" spans="1:7" x14ac:dyDescent="0.25">
      <c r="A19" s="22"/>
      <c r="B19" s="5" t="s">
        <v>134</v>
      </c>
      <c r="C19" s="3"/>
      <c r="D19" s="3"/>
      <c r="E19" s="3"/>
      <c r="F19" s="3"/>
      <c r="G19" s="3"/>
    </row>
    <row r="20" spans="1:7" x14ac:dyDescent="0.25">
      <c r="A20" s="22" t="s">
        <v>22</v>
      </c>
      <c r="B20" s="5" t="s">
        <v>249</v>
      </c>
      <c r="C20" s="3"/>
      <c r="D20" s="3"/>
      <c r="E20" s="3"/>
      <c r="F20" s="3"/>
      <c r="G20" s="3"/>
    </row>
    <row r="21" spans="1:7" x14ac:dyDescent="0.25">
      <c r="A21" s="22" t="s">
        <v>22</v>
      </c>
      <c r="B21" s="5" t="s">
        <v>250</v>
      </c>
      <c r="C21" s="3"/>
      <c r="D21" s="3"/>
      <c r="E21" s="3"/>
      <c r="F21" s="3"/>
      <c r="G21" s="3"/>
    </row>
    <row r="22" spans="1:7" x14ac:dyDescent="0.25">
      <c r="A22" s="2" t="s">
        <v>73</v>
      </c>
      <c r="B22" s="14" t="s">
        <v>98</v>
      </c>
      <c r="C22" s="3"/>
      <c r="D22" s="3"/>
      <c r="E22" s="3"/>
      <c r="F22" s="3"/>
      <c r="G22" s="3"/>
    </row>
    <row r="23" spans="1:7" ht="25.5" customHeight="1" x14ac:dyDescent="0.25">
      <c r="A23" s="21" t="s">
        <v>326</v>
      </c>
    </row>
    <row r="24" spans="1:7" ht="51" customHeight="1" x14ac:dyDescent="0.25">
      <c r="A24" s="562" t="s">
        <v>327</v>
      </c>
      <c r="B24" s="562"/>
      <c r="C24" s="562"/>
      <c r="D24" s="562"/>
      <c r="E24" s="562"/>
      <c r="F24" s="562"/>
      <c r="G24" s="562"/>
    </row>
    <row r="25" spans="1:7" ht="39.75" customHeight="1" x14ac:dyDescent="0.25">
      <c r="A25" s="562" t="s">
        <v>325</v>
      </c>
      <c r="B25" s="562"/>
      <c r="C25" s="562"/>
      <c r="D25" s="562"/>
      <c r="E25" s="562"/>
      <c r="F25" s="562"/>
      <c r="G25" s="562"/>
    </row>
  </sheetData>
  <mergeCells count="6">
    <mergeCell ref="A25:G25"/>
    <mergeCell ref="A1:G1"/>
    <mergeCell ref="A2:G2"/>
    <mergeCell ref="A3:G3"/>
    <mergeCell ref="F4:G4"/>
    <mergeCell ref="A24:G24"/>
  </mergeCells>
  <pageMargins left="0.70866141732283472" right="0.34" top="0.74803149606299213" bottom="0.74803149606299213"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sheetPr>
  <dimension ref="A1:G64"/>
  <sheetViews>
    <sheetView topLeftCell="A11" workbookViewId="0">
      <selection activeCell="E33" sqref="E33"/>
    </sheetView>
  </sheetViews>
  <sheetFormatPr defaultColWidth="9.28515625" defaultRowHeight="15" x14ac:dyDescent="0.25"/>
  <cols>
    <col min="1" max="1" width="5.5703125" style="1" customWidth="1"/>
    <col min="2" max="2" width="45.7109375" style="1" customWidth="1"/>
    <col min="3" max="4" width="11.5703125" style="1" customWidth="1"/>
    <col min="5" max="7" width="12.5703125" style="1" customWidth="1"/>
    <col min="8" max="16384" width="9.28515625" style="1"/>
  </cols>
  <sheetData>
    <row r="1" spans="1:7" x14ac:dyDescent="0.25">
      <c r="A1" s="571" t="s">
        <v>328</v>
      </c>
      <c r="B1" s="571"/>
      <c r="C1" s="571"/>
      <c r="D1" s="571"/>
      <c r="E1" s="571"/>
      <c r="F1" s="571"/>
      <c r="G1" s="571"/>
    </row>
    <row r="2" spans="1:7" ht="19.5" customHeight="1" x14ac:dyDescent="0.25">
      <c r="A2" s="554" t="s">
        <v>329</v>
      </c>
      <c r="B2" s="554"/>
      <c r="C2" s="554"/>
      <c r="D2" s="554"/>
      <c r="E2" s="554"/>
      <c r="F2" s="554"/>
      <c r="G2" s="554"/>
    </row>
    <row r="3" spans="1:7" x14ac:dyDescent="0.25">
      <c r="A3" s="572" t="s">
        <v>330</v>
      </c>
      <c r="B3" s="572"/>
      <c r="C3" s="572"/>
      <c r="D3" s="572"/>
      <c r="E3" s="572"/>
      <c r="F3" s="572"/>
      <c r="G3" s="572"/>
    </row>
    <row r="4" spans="1:7" x14ac:dyDescent="0.25">
      <c r="F4" s="574" t="s">
        <v>331</v>
      </c>
      <c r="G4" s="574"/>
    </row>
    <row r="5" spans="1:7" ht="19.5" customHeight="1" x14ac:dyDescent="0.25">
      <c r="A5" s="558" t="s">
        <v>3</v>
      </c>
      <c r="B5" s="558" t="s">
        <v>4</v>
      </c>
      <c r="C5" s="558" t="s">
        <v>332</v>
      </c>
      <c r="D5" s="558"/>
      <c r="E5" s="558" t="s">
        <v>333</v>
      </c>
      <c r="F5" s="558"/>
      <c r="G5" s="558"/>
    </row>
    <row r="6" spans="1:7" ht="51" customHeight="1" x14ac:dyDescent="0.25">
      <c r="A6" s="558"/>
      <c r="B6" s="558"/>
      <c r="C6" s="2" t="s">
        <v>296</v>
      </c>
      <c r="D6" s="2" t="s">
        <v>297</v>
      </c>
      <c r="E6" s="2" t="s">
        <v>334</v>
      </c>
      <c r="F6" s="2" t="s">
        <v>231</v>
      </c>
      <c r="G6" s="2" t="s">
        <v>232</v>
      </c>
    </row>
    <row r="7" spans="1:7" x14ac:dyDescent="0.25">
      <c r="A7" s="3"/>
      <c r="B7" s="14" t="s">
        <v>133</v>
      </c>
      <c r="C7" s="3"/>
      <c r="D7" s="3"/>
      <c r="E7" s="3"/>
      <c r="F7" s="3"/>
      <c r="G7" s="3"/>
    </row>
    <row r="8" spans="1:7" x14ac:dyDescent="0.25">
      <c r="A8" s="3"/>
      <c r="B8" s="5" t="s">
        <v>134</v>
      </c>
      <c r="C8" s="3"/>
      <c r="D8" s="3"/>
      <c r="E8" s="3"/>
      <c r="F8" s="3"/>
      <c r="G8" s="3"/>
    </row>
    <row r="9" spans="1:7" x14ac:dyDescent="0.25">
      <c r="A9" s="3" t="s">
        <v>22</v>
      </c>
      <c r="B9" s="5" t="s">
        <v>135</v>
      </c>
      <c r="C9" s="3"/>
      <c r="D9" s="3"/>
      <c r="E9" s="3"/>
      <c r="F9" s="3"/>
      <c r="G9" s="3"/>
    </row>
    <row r="10" spans="1:7" x14ac:dyDescent="0.25">
      <c r="A10" s="3" t="s">
        <v>22</v>
      </c>
      <c r="B10" s="5" t="s">
        <v>136</v>
      </c>
      <c r="C10" s="3"/>
      <c r="D10" s="3"/>
      <c r="E10" s="3"/>
      <c r="F10" s="3"/>
      <c r="G10" s="3"/>
    </row>
    <row r="11" spans="1:7" x14ac:dyDescent="0.25">
      <c r="A11" s="2" t="s">
        <v>15</v>
      </c>
      <c r="B11" s="14" t="s">
        <v>137</v>
      </c>
      <c r="C11" s="3"/>
      <c r="D11" s="3"/>
      <c r="E11" s="3"/>
      <c r="F11" s="3"/>
      <c r="G11" s="3"/>
    </row>
    <row r="12" spans="1:7" x14ac:dyDescent="0.25">
      <c r="A12" s="3"/>
      <c r="B12" s="5" t="s">
        <v>134</v>
      </c>
      <c r="C12" s="3"/>
      <c r="D12" s="3"/>
      <c r="E12" s="3"/>
      <c r="F12" s="3"/>
      <c r="G12" s="3"/>
    </row>
    <row r="13" spans="1:7" x14ac:dyDescent="0.25">
      <c r="A13" s="3" t="s">
        <v>22</v>
      </c>
      <c r="B13" s="5" t="s">
        <v>135</v>
      </c>
      <c r="C13" s="3"/>
      <c r="D13" s="3"/>
      <c r="E13" s="3"/>
      <c r="F13" s="3"/>
      <c r="G13" s="3"/>
    </row>
    <row r="14" spans="1:7" x14ac:dyDescent="0.25">
      <c r="A14" s="3" t="s">
        <v>22</v>
      </c>
      <c r="B14" s="5" t="s">
        <v>136</v>
      </c>
      <c r="C14" s="3"/>
      <c r="D14" s="3"/>
      <c r="E14" s="3"/>
      <c r="F14" s="3"/>
      <c r="G14" s="3"/>
    </row>
    <row r="15" spans="1:7" ht="28.5" x14ac:dyDescent="0.25">
      <c r="A15" s="2" t="s">
        <v>83</v>
      </c>
      <c r="B15" s="14" t="s">
        <v>335</v>
      </c>
      <c r="C15" s="3"/>
      <c r="D15" s="3"/>
      <c r="E15" s="3"/>
      <c r="F15" s="3"/>
      <c r="G15" s="3"/>
    </row>
    <row r="16" spans="1:7" x14ac:dyDescent="0.25">
      <c r="A16" s="3">
        <v>1</v>
      </c>
      <c r="B16" s="4" t="s">
        <v>336</v>
      </c>
      <c r="C16" s="3"/>
      <c r="D16" s="3"/>
      <c r="E16" s="3"/>
      <c r="F16" s="3"/>
      <c r="G16" s="3"/>
    </row>
    <row r="17" spans="1:7" x14ac:dyDescent="0.25">
      <c r="A17" s="3"/>
      <c r="B17" s="5" t="s">
        <v>134</v>
      </c>
      <c r="C17" s="3"/>
      <c r="D17" s="3"/>
      <c r="E17" s="3"/>
      <c r="F17" s="3"/>
      <c r="G17" s="3"/>
    </row>
    <row r="18" spans="1:7" x14ac:dyDescent="0.25">
      <c r="A18" s="3" t="s">
        <v>22</v>
      </c>
      <c r="B18" s="5" t="s">
        <v>135</v>
      </c>
      <c r="C18" s="3"/>
      <c r="D18" s="3"/>
      <c r="E18" s="3"/>
      <c r="F18" s="3"/>
      <c r="G18" s="3"/>
    </row>
    <row r="19" spans="1:7" x14ac:dyDescent="0.25">
      <c r="A19" s="3" t="s">
        <v>22</v>
      </c>
      <c r="B19" s="5" t="s">
        <v>136</v>
      </c>
      <c r="C19" s="3"/>
      <c r="D19" s="3"/>
      <c r="E19" s="3"/>
      <c r="F19" s="3"/>
      <c r="G19" s="3"/>
    </row>
    <row r="20" spans="1:7" x14ac:dyDescent="0.25">
      <c r="A20" s="3" t="s">
        <v>144</v>
      </c>
      <c r="B20" s="5" t="s">
        <v>351</v>
      </c>
      <c r="C20" s="3"/>
      <c r="D20" s="3"/>
      <c r="E20" s="3"/>
      <c r="F20" s="3"/>
      <c r="G20" s="3"/>
    </row>
    <row r="21" spans="1:7" x14ac:dyDescent="0.25">
      <c r="A21" s="3" t="s">
        <v>146</v>
      </c>
      <c r="B21" s="5" t="s">
        <v>337</v>
      </c>
      <c r="C21" s="3"/>
      <c r="D21" s="3"/>
      <c r="E21" s="3"/>
      <c r="F21" s="3"/>
      <c r="G21" s="3"/>
    </row>
    <row r="22" spans="1:7" x14ac:dyDescent="0.25">
      <c r="A22" s="3" t="s">
        <v>338</v>
      </c>
      <c r="B22" s="5" t="s">
        <v>339</v>
      </c>
      <c r="C22" s="3"/>
      <c r="D22" s="3"/>
      <c r="E22" s="3"/>
      <c r="F22" s="3"/>
      <c r="G22" s="3"/>
    </row>
    <row r="23" spans="1:7" x14ac:dyDescent="0.25">
      <c r="A23" s="3" t="s">
        <v>22</v>
      </c>
      <c r="B23" s="5" t="s">
        <v>340</v>
      </c>
      <c r="C23" s="3"/>
      <c r="D23" s="3"/>
      <c r="E23" s="3"/>
      <c r="F23" s="3"/>
      <c r="G23" s="3"/>
    </row>
    <row r="24" spans="1:7" x14ac:dyDescent="0.25">
      <c r="A24" s="2">
        <v>2</v>
      </c>
      <c r="B24" s="14" t="s">
        <v>341</v>
      </c>
      <c r="C24" s="3"/>
      <c r="D24" s="3"/>
      <c r="E24" s="3"/>
      <c r="F24" s="3"/>
      <c r="G24" s="3"/>
    </row>
    <row r="25" spans="1:7" x14ac:dyDescent="0.25">
      <c r="A25" s="3"/>
      <c r="B25" s="5" t="s">
        <v>134</v>
      </c>
      <c r="C25" s="3"/>
      <c r="D25" s="3"/>
      <c r="E25" s="3"/>
      <c r="F25" s="3"/>
      <c r="G25" s="3"/>
    </row>
    <row r="26" spans="1:7" x14ac:dyDescent="0.25">
      <c r="A26" s="3" t="s">
        <v>22</v>
      </c>
      <c r="B26" s="5" t="s">
        <v>135</v>
      </c>
      <c r="C26" s="3"/>
      <c r="D26" s="3"/>
      <c r="E26" s="3"/>
      <c r="F26" s="3"/>
      <c r="G26" s="3"/>
    </row>
    <row r="27" spans="1:7" x14ac:dyDescent="0.25">
      <c r="A27" s="3" t="s">
        <v>22</v>
      </c>
      <c r="B27" s="5" t="s">
        <v>136</v>
      </c>
      <c r="C27" s="3"/>
      <c r="D27" s="3"/>
      <c r="E27" s="3"/>
      <c r="F27" s="3"/>
      <c r="G27" s="3"/>
    </row>
    <row r="28" spans="1:7" x14ac:dyDescent="0.25">
      <c r="A28" s="22"/>
      <c r="B28" s="5" t="s">
        <v>134</v>
      </c>
      <c r="C28" s="3"/>
      <c r="D28" s="3"/>
      <c r="E28" s="3"/>
      <c r="F28" s="3"/>
      <c r="G28" s="3"/>
    </row>
    <row r="29" spans="1:7" x14ac:dyDescent="0.25">
      <c r="A29" s="3" t="s">
        <v>144</v>
      </c>
      <c r="B29" s="5" t="s">
        <v>352</v>
      </c>
      <c r="C29" s="3"/>
      <c r="D29" s="3"/>
      <c r="E29" s="3"/>
      <c r="F29" s="3"/>
      <c r="G29" s="3"/>
    </row>
    <row r="30" spans="1:7" x14ac:dyDescent="0.25">
      <c r="A30" s="3" t="s">
        <v>146</v>
      </c>
      <c r="B30" s="5" t="s">
        <v>342</v>
      </c>
      <c r="C30" s="3"/>
      <c r="D30" s="3"/>
      <c r="E30" s="3"/>
      <c r="F30" s="3"/>
      <c r="G30" s="3"/>
    </row>
    <row r="31" spans="1:7" x14ac:dyDescent="0.25">
      <c r="A31" s="3" t="s">
        <v>338</v>
      </c>
      <c r="B31" s="5" t="s">
        <v>343</v>
      </c>
      <c r="C31" s="3"/>
      <c r="D31" s="3"/>
      <c r="E31" s="3"/>
      <c r="F31" s="3"/>
      <c r="G31" s="3"/>
    </row>
    <row r="32" spans="1:7" ht="28.5" x14ac:dyDescent="0.25">
      <c r="A32" s="2" t="s">
        <v>70</v>
      </c>
      <c r="B32" s="14" t="s">
        <v>142</v>
      </c>
      <c r="C32" s="3"/>
      <c r="D32" s="3"/>
      <c r="E32" s="3"/>
      <c r="F32" s="3"/>
      <c r="G32" s="3"/>
    </row>
    <row r="33" spans="1:7" x14ac:dyDescent="0.25">
      <c r="A33" s="3"/>
      <c r="B33" s="5" t="s">
        <v>134</v>
      </c>
      <c r="C33" s="3"/>
      <c r="D33" s="3"/>
      <c r="E33" s="3"/>
      <c r="F33" s="3"/>
      <c r="G33" s="3"/>
    </row>
    <row r="34" spans="1:7" x14ac:dyDescent="0.25">
      <c r="A34" s="3"/>
      <c r="B34" s="5" t="s">
        <v>344</v>
      </c>
      <c r="C34" s="3"/>
      <c r="D34" s="3"/>
      <c r="E34" s="3"/>
      <c r="F34" s="3"/>
      <c r="G34" s="3"/>
    </row>
    <row r="35" spans="1:7" x14ac:dyDescent="0.25">
      <c r="A35" s="3"/>
      <c r="B35" s="5" t="s">
        <v>345</v>
      </c>
      <c r="C35" s="3"/>
      <c r="D35" s="3"/>
      <c r="E35" s="3"/>
      <c r="F35" s="3"/>
      <c r="G35" s="3"/>
    </row>
    <row r="36" spans="1:7" x14ac:dyDescent="0.25">
      <c r="A36" s="3">
        <v>1</v>
      </c>
      <c r="B36" s="4" t="s">
        <v>143</v>
      </c>
      <c r="C36" s="3"/>
      <c r="D36" s="3"/>
      <c r="E36" s="3"/>
      <c r="F36" s="3"/>
      <c r="G36" s="3"/>
    </row>
    <row r="37" spans="1:7" x14ac:dyDescent="0.25">
      <c r="A37" s="3"/>
      <c r="B37" s="5" t="s">
        <v>134</v>
      </c>
      <c r="C37" s="3"/>
      <c r="D37" s="3"/>
      <c r="E37" s="3"/>
      <c r="F37" s="3"/>
      <c r="G37" s="3"/>
    </row>
    <row r="38" spans="1:7" x14ac:dyDescent="0.25">
      <c r="A38" s="3"/>
      <c r="B38" s="5" t="s">
        <v>344</v>
      </c>
      <c r="C38" s="3"/>
      <c r="D38" s="3"/>
      <c r="E38" s="3"/>
      <c r="F38" s="3"/>
      <c r="G38" s="3"/>
    </row>
    <row r="39" spans="1:7" x14ac:dyDescent="0.25">
      <c r="A39" s="3"/>
      <c r="B39" s="5" t="s">
        <v>345</v>
      </c>
      <c r="C39" s="3"/>
      <c r="D39" s="3"/>
      <c r="E39" s="3"/>
      <c r="F39" s="3"/>
      <c r="G39" s="3"/>
    </row>
    <row r="40" spans="1:7" x14ac:dyDescent="0.25">
      <c r="A40" s="3" t="s">
        <v>144</v>
      </c>
      <c r="B40" s="4" t="s">
        <v>346</v>
      </c>
      <c r="C40" s="3"/>
      <c r="D40" s="3"/>
      <c r="E40" s="3"/>
      <c r="F40" s="3"/>
      <c r="G40" s="3"/>
    </row>
    <row r="41" spans="1:7" x14ac:dyDescent="0.25">
      <c r="A41" s="3"/>
      <c r="B41" s="5" t="s">
        <v>134</v>
      </c>
      <c r="C41" s="3"/>
      <c r="D41" s="3"/>
      <c r="E41" s="3"/>
      <c r="F41" s="3"/>
      <c r="G41" s="3"/>
    </row>
    <row r="42" spans="1:7" x14ac:dyDescent="0.25">
      <c r="A42" s="3"/>
      <c r="B42" s="5" t="s">
        <v>344</v>
      </c>
      <c r="C42" s="3"/>
      <c r="D42" s="3"/>
      <c r="E42" s="3"/>
      <c r="F42" s="3"/>
      <c r="G42" s="3"/>
    </row>
    <row r="43" spans="1:7" x14ac:dyDescent="0.25">
      <c r="A43" s="3"/>
      <c r="B43" s="5" t="s">
        <v>345</v>
      </c>
      <c r="C43" s="3"/>
      <c r="D43" s="3"/>
      <c r="E43" s="3"/>
      <c r="F43" s="3"/>
      <c r="G43" s="3"/>
    </row>
    <row r="44" spans="1:7" x14ac:dyDescent="0.25">
      <c r="A44" s="3" t="s">
        <v>146</v>
      </c>
      <c r="B44" s="4" t="s">
        <v>145</v>
      </c>
      <c r="C44" s="3"/>
      <c r="D44" s="3"/>
      <c r="E44" s="3"/>
      <c r="F44" s="3"/>
      <c r="G44" s="3"/>
    </row>
    <row r="45" spans="1:7" x14ac:dyDescent="0.25">
      <c r="A45" s="3"/>
      <c r="B45" s="5" t="s">
        <v>148</v>
      </c>
      <c r="C45" s="3"/>
      <c r="D45" s="3"/>
      <c r="E45" s="3"/>
      <c r="F45" s="3"/>
      <c r="G45" s="3"/>
    </row>
    <row r="46" spans="1:7" x14ac:dyDescent="0.25">
      <c r="A46" s="3" t="s">
        <v>150</v>
      </c>
      <c r="B46" s="4" t="s">
        <v>150</v>
      </c>
      <c r="C46" s="3"/>
      <c r="D46" s="3"/>
      <c r="E46" s="3"/>
      <c r="F46" s="3"/>
      <c r="G46" s="3"/>
    </row>
    <row r="47" spans="1:7" x14ac:dyDescent="0.25">
      <c r="A47" s="2">
        <v>2</v>
      </c>
      <c r="B47" s="14" t="s">
        <v>347</v>
      </c>
      <c r="C47" s="3"/>
      <c r="D47" s="3"/>
      <c r="E47" s="3"/>
      <c r="F47" s="3"/>
      <c r="G47" s="3"/>
    </row>
    <row r="48" spans="1:7" x14ac:dyDescent="0.25">
      <c r="A48" s="3"/>
      <c r="B48" s="5" t="s">
        <v>134</v>
      </c>
      <c r="C48" s="3"/>
      <c r="D48" s="3"/>
      <c r="E48" s="3"/>
      <c r="F48" s="3"/>
      <c r="G48" s="3"/>
    </row>
    <row r="49" spans="1:7" x14ac:dyDescent="0.25">
      <c r="A49" s="3"/>
      <c r="B49" s="5" t="s">
        <v>344</v>
      </c>
      <c r="C49" s="3"/>
      <c r="D49" s="3"/>
      <c r="E49" s="3"/>
      <c r="F49" s="3"/>
      <c r="G49" s="3"/>
    </row>
    <row r="50" spans="1:7" x14ac:dyDescent="0.25">
      <c r="A50" s="3"/>
      <c r="B50" s="5" t="s">
        <v>345</v>
      </c>
      <c r="C50" s="3"/>
      <c r="D50" s="3"/>
      <c r="E50" s="3"/>
      <c r="F50" s="3"/>
      <c r="G50" s="3"/>
    </row>
    <row r="51" spans="1:7" x14ac:dyDescent="0.25">
      <c r="A51" s="3" t="s">
        <v>144</v>
      </c>
      <c r="B51" s="4" t="s">
        <v>153</v>
      </c>
      <c r="C51" s="3"/>
      <c r="D51" s="3"/>
      <c r="E51" s="3"/>
      <c r="F51" s="3"/>
      <c r="G51" s="3"/>
    </row>
    <row r="52" spans="1:7" x14ac:dyDescent="0.25">
      <c r="A52" s="3"/>
      <c r="B52" s="5" t="s">
        <v>134</v>
      </c>
      <c r="C52" s="3"/>
      <c r="D52" s="3"/>
      <c r="E52" s="3"/>
      <c r="F52" s="3"/>
      <c r="G52" s="3"/>
    </row>
    <row r="53" spans="1:7" x14ac:dyDescent="0.25">
      <c r="A53" s="3"/>
      <c r="B53" s="5" t="s">
        <v>344</v>
      </c>
      <c r="C53" s="3"/>
      <c r="D53" s="3"/>
      <c r="E53" s="3"/>
      <c r="F53" s="3"/>
      <c r="G53" s="3"/>
    </row>
    <row r="54" spans="1:7" x14ac:dyDescent="0.25">
      <c r="A54" s="3"/>
      <c r="B54" s="5" t="s">
        <v>345</v>
      </c>
      <c r="C54" s="3"/>
      <c r="D54" s="3"/>
      <c r="E54" s="3"/>
      <c r="F54" s="3"/>
      <c r="G54" s="3"/>
    </row>
    <row r="55" spans="1:7" x14ac:dyDescent="0.25">
      <c r="A55" s="3" t="s">
        <v>146</v>
      </c>
      <c r="B55" s="4" t="s">
        <v>153</v>
      </c>
      <c r="C55" s="3"/>
      <c r="D55" s="3"/>
      <c r="E55" s="3"/>
      <c r="F55" s="3"/>
      <c r="G55" s="3"/>
    </row>
    <row r="56" spans="1:7" x14ac:dyDescent="0.25">
      <c r="A56" s="3"/>
      <c r="B56" s="5" t="s">
        <v>202</v>
      </c>
      <c r="C56" s="3"/>
      <c r="D56" s="3"/>
      <c r="E56" s="3"/>
      <c r="F56" s="3"/>
      <c r="G56" s="3"/>
    </row>
    <row r="57" spans="1:7" x14ac:dyDescent="0.25">
      <c r="A57" s="3" t="s">
        <v>150</v>
      </c>
      <c r="B57" s="4" t="s">
        <v>150</v>
      </c>
      <c r="C57" s="3"/>
      <c r="D57" s="3"/>
      <c r="E57" s="3"/>
      <c r="F57" s="3"/>
      <c r="G57" s="3"/>
    </row>
    <row r="58" spans="1:7" x14ac:dyDescent="0.25">
      <c r="A58" s="2" t="s">
        <v>16</v>
      </c>
      <c r="B58" s="14" t="s">
        <v>155</v>
      </c>
      <c r="C58" s="3"/>
      <c r="D58" s="3"/>
      <c r="E58" s="3"/>
      <c r="F58" s="3"/>
      <c r="G58" s="3"/>
    </row>
    <row r="59" spans="1:7" x14ac:dyDescent="0.25">
      <c r="A59" s="3" t="s">
        <v>22</v>
      </c>
      <c r="B59" s="5" t="s">
        <v>156</v>
      </c>
      <c r="C59" s="3"/>
      <c r="D59" s="3"/>
      <c r="E59" s="3"/>
      <c r="F59" s="3"/>
      <c r="G59" s="3"/>
    </row>
    <row r="60" spans="1:7" x14ac:dyDescent="0.25">
      <c r="A60" s="3" t="s">
        <v>22</v>
      </c>
      <c r="B60" s="5" t="s">
        <v>348</v>
      </c>
      <c r="C60" s="3"/>
      <c r="D60" s="3"/>
      <c r="E60" s="3"/>
      <c r="F60" s="3"/>
      <c r="G60" s="3"/>
    </row>
    <row r="61" spans="1:7" x14ac:dyDescent="0.25">
      <c r="A61" s="15" t="s">
        <v>118</v>
      </c>
    </row>
    <row r="62" spans="1:7" x14ac:dyDescent="0.25">
      <c r="A62" s="562" t="s">
        <v>353</v>
      </c>
      <c r="B62" s="562"/>
      <c r="C62" s="562"/>
      <c r="D62" s="562"/>
      <c r="E62" s="562"/>
      <c r="F62" s="562"/>
      <c r="G62" s="562"/>
    </row>
    <row r="63" spans="1:7" x14ac:dyDescent="0.25">
      <c r="A63" s="562" t="s">
        <v>349</v>
      </c>
      <c r="B63" s="562"/>
      <c r="C63" s="562"/>
      <c r="D63" s="562"/>
      <c r="E63" s="562"/>
      <c r="F63" s="562"/>
      <c r="G63" s="562"/>
    </row>
    <row r="64" spans="1:7" x14ac:dyDescent="0.25">
      <c r="A64" s="562" t="s">
        <v>350</v>
      </c>
      <c r="B64" s="562"/>
      <c r="C64" s="562"/>
      <c r="D64" s="562"/>
      <c r="E64" s="562"/>
      <c r="F64" s="562"/>
      <c r="G64" s="562"/>
    </row>
  </sheetData>
  <mergeCells count="11">
    <mergeCell ref="A63:G63"/>
    <mergeCell ref="A64:G64"/>
    <mergeCell ref="A5:A6"/>
    <mergeCell ref="B5:B6"/>
    <mergeCell ref="C5:D5"/>
    <mergeCell ref="E5:G5"/>
    <mergeCell ref="A1:G1"/>
    <mergeCell ref="A2:G2"/>
    <mergeCell ref="A3:G3"/>
    <mergeCell ref="F4:G4"/>
    <mergeCell ref="A62:G62"/>
  </mergeCells>
  <pageMargins left="0.70866141732283472" right="0.35433070866141736" top="0.3" bottom="0.35433070866141736" header="0.15748031496062992" footer="0.15748031496062992"/>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I38"/>
  <sheetViews>
    <sheetView workbookViewId="0">
      <selection activeCell="B11" sqref="B11"/>
    </sheetView>
  </sheetViews>
  <sheetFormatPr defaultColWidth="9.28515625" defaultRowHeight="15" x14ac:dyDescent="0.25"/>
  <cols>
    <col min="1" max="1" width="5.7109375" style="1" customWidth="1"/>
    <col min="2" max="2" width="49.5703125" style="1" customWidth="1"/>
    <col min="3" max="3" width="12" style="1" customWidth="1"/>
    <col min="4" max="4" width="12.28515625" style="1" customWidth="1"/>
    <col min="5" max="5" width="11" style="1" customWidth="1"/>
    <col min="6" max="6" width="13.42578125" style="1" customWidth="1"/>
    <col min="7" max="7" width="9.28515625" style="1"/>
    <col min="8" max="8" width="14.5703125" style="1" bestFit="1" customWidth="1"/>
    <col min="9" max="16384" width="9.28515625" style="1"/>
  </cols>
  <sheetData>
    <row r="1" spans="1:9" x14ac:dyDescent="0.25">
      <c r="A1" s="559" t="s">
        <v>224</v>
      </c>
      <c r="B1" s="559"/>
      <c r="C1" s="559"/>
      <c r="D1" s="559"/>
      <c r="E1" s="559"/>
      <c r="F1" s="559"/>
    </row>
    <row r="2" spans="1:9" ht="18.75" x14ac:dyDescent="0.25">
      <c r="A2" s="554" t="s">
        <v>1564</v>
      </c>
      <c r="B2" s="554"/>
      <c r="C2" s="554"/>
      <c r="D2" s="554"/>
      <c r="E2" s="554"/>
      <c r="F2" s="554"/>
    </row>
    <row r="3" spans="1:9" ht="15.75" x14ac:dyDescent="0.25">
      <c r="A3" s="576" t="s">
        <v>1565</v>
      </c>
      <c r="B3" s="576"/>
      <c r="C3" s="576"/>
      <c r="D3" s="576"/>
      <c r="E3" s="576"/>
      <c r="F3" s="576"/>
    </row>
    <row r="4" spans="1:9" ht="15.75" x14ac:dyDescent="0.25">
      <c r="A4" s="160"/>
      <c r="B4" s="160"/>
      <c r="C4" s="160"/>
      <c r="D4" s="160"/>
      <c r="E4" s="160"/>
      <c r="F4" s="160"/>
    </row>
    <row r="5" spans="1:9" x14ac:dyDescent="0.25">
      <c r="E5" s="561" t="s">
        <v>56</v>
      </c>
      <c r="F5" s="561"/>
    </row>
    <row r="6" spans="1:9" ht="15" customHeight="1" x14ac:dyDescent="0.25">
      <c r="A6" s="558" t="s">
        <v>3</v>
      </c>
      <c r="B6" s="558" t="s">
        <v>355</v>
      </c>
      <c r="C6" s="558" t="s">
        <v>1360</v>
      </c>
      <c r="D6" s="558" t="s">
        <v>1566</v>
      </c>
      <c r="E6" s="558" t="s">
        <v>229</v>
      </c>
      <c r="F6" s="558"/>
    </row>
    <row r="7" spans="1:9" ht="28.5" x14ac:dyDescent="0.25">
      <c r="A7" s="558"/>
      <c r="B7" s="558"/>
      <c r="C7" s="558"/>
      <c r="D7" s="558"/>
      <c r="E7" s="2" t="s">
        <v>233</v>
      </c>
      <c r="F7" s="2" t="s">
        <v>358</v>
      </c>
    </row>
    <row r="8" spans="1:9" x14ac:dyDescent="0.25">
      <c r="A8" s="2" t="s">
        <v>15</v>
      </c>
      <c r="B8" s="2" t="s">
        <v>16</v>
      </c>
      <c r="C8" s="2">
        <v>1</v>
      </c>
      <c r="D8" s="2">
        <v>2</v>
      </c>
      <c r="E8" s="2" t="s">
        <v>359</v>
      </c>
      <c r="F8" s="2" t="s">
        <v>360</v>
      </c>
    </row>
    <row r="9" spans="1:9" s="70" customFormat="1" ht="14.25" x14ac:dyDescent="0.25">
      <c r="A9" s="2" t="s">
        <v>15</v>
      </c>
      <c r="B9" s="14" t="s">
        <v>237</v>
      </c>
      <c r="C9" s="68">
        <f>C10+C13</f>
        <v>691072</v>
      </c>
      <c r="D9" s="68">
        <f>D10+D13</f>
        <v>683948</v>
      </c>
      <c r="E9" s="68">
        <f>E10+E13</f>
        <v>-7124</v>
      </c>
      <c r="F9" s="69">
        <f>D9/C9*100</f>
        <v>98.969137803296903</v>
      </c>
      <c r="H9" s="71"/>
      <c r="I9" s="71"/>
    </row>
    <row r="10" spans="1:9" s="70" customFormat="1" ht="14.25" x14ac:dyDescent="0.25">
      <c r="A10" s="2" t="s">
        <v>83</v>
      </c>
      <c r="B10" s="14" t="s">
        <v>361</v>
      </c>
      <c r="C10" s="68">
        <f>C11+C12</f>
        <v>65800</v>
      </c>
      <c r="D10" s="68">
        <f>D11+D12</f>
        <v>113550</v>
      </c>
      <c r="E10" s="68">
        <f>E11+E12</f>
        <v>47750</v>
      </c>
      <c r="F10" s="69">
        <f>D10/C10*100</f>
        <v>172.56838905775075</v>
      </c>
      <c r="H10" s="177"/>
    </row>
    <row r="11" spans="1:9" x14ac:dyDescent="0.25">
      <c r="A11" s="3">
        <v>1</v>
      </c>
      <c r="B11" s="4" t="s">
        <v>362</v>
      </c>
      <c r="C11" s="187">
        <f>65800-C12</f>
        <v>65800</v>
      </c>
      <c r="D11" s="187">
        <v>113550</v>
      </c>
      <c r="E11" s="187">
        <f>D11-C11</f>
        <v>47750</v>
      </c>
      <c r="F11" s="188">
        <f t="shared" ref="F11:F29" si="0">D11/C11*100</f>
        <v>172.56838905775075</v>
      </c>
    </row>
    <row r="12" spans="1:9" x14ac:dyDescent="0.25">
      <c r="A12" s="3">
        <v>2</v>
      </c>
      <c r="B12" s="4" t="s">
        <v>363</v>
      </c>
      <c r="C12" s="187">
        <v>0</v>
      </c>
      <c r="D12" s="187">
        <v>0</v>
      </c>
      <c r="E12" s="187">
        <f>D12-C12</f>
        <v>0</v>
      </c>
      <c r="F12" s="188"/>
    </row>
    <row r="13" spans="1:9" s="70" customFormat="1" ht="14.25" x14ac:dyDescent="0.25">
      <c r="A13" s="2" t="s">
        <v>70</v>
      </c>
      <c r="B13" s="14" t="s">
        <v>364</v>
      </c>
      <c r="C13" s="68">
        <f>SUM(C14:C15)</f>
        <v>625272</v>
      </c>
      <c r="D13" s="68">
        <f>SUM(D14:D15)</f>
        <v>570398</v>
      </c>
      <c r="E13" s="68">
        <f>SUM(E14:E15)</f>
        <v>-54874</v>
      </c>
      <c r="F13" s="69">
        <f t="shared" si="0"/>
        <v>91.223979324198112</v>
      </c>
      <c r="H13" s="71"/>
    </row>
    <row r="14" spans="1:9" x14ac:dyDescent="0.25">
      <c r="A14" s="3">
        <v>1</v>
      </c>
      <c r="B14" s="4" t="s">
        <v>240</v>
      </c>
      <c r="C14" s="187">
        <v>591909</v>
      </c>
      <c r="D14" s="187">
        <v>532198</v>
      </c>
      <c r="E14" s="187">
        <f>D14-C14</f>
        <v>-59711</v>
      </c>
      <c r="F14" s="188">
        <f t="shared" si="0"/>
        <v>89.912131763497428</v>
      </c>
    </row>
    <row r="15" spans="1:9" x14ac:dyDescent="0.25">
      <c r="A15" s="3">
        <v>2</v>
      </c>
      <c r="B15" s="4" t="s">
        <v>88</v>
      </c>
      <c r="C15" s="187">
        <v>33363</v>
      </c>
      <c r="D15" s="187">
        <v>38200</v>
      </c>
      <c r="E15" s="187">
        <f>D15-C15</f>
        <v>4837</v>
      </c>
      <c r="F15" s="188">
        <f t="shared" si="0"/>
        <v>114.4980966939424</v>
      </c>
    </row>
    <row r="16" spans="1:9" s="70" customFormat="1" ht="14.25" x14ac:dyDescent="0.25">
      <c r="A16" s="2" t="s">
        <v>73</v>
      </c>
      <c r="B16" s="14" t="s">
        <v>365</v>
      </c>
      <c r="C16" s="68"/>
      <c r="D16" s="68"/>
      <c r="E16" s="68"/>
      <c r="F16" s="69"/>
    </row>
    <row r="17" spans="1:9" s="70" customFormat="1" ht="14.25" x14ac:dyDescent="0.25">
      <c r="A17" s="2" t="s">
        <v>77</v>
      </c>
      <c r="B17" s="14" t="s">
        <v>303</v>
      </c>
      <c r="C17" s="68"/>
      <c r="D17" s="68"/>
      <c r="E17" s="68"/>
      <c r="F17" s="69"/>
    </row>
    <row r="18" spans="1:9" s="70" customFormat="1" ht="14.25" x14ac:dyDescent="0.25">
      <c r="A18" s="2" t="s">
        <v>113</v>
      </c>
      <c r="B18" s="14" t="s">
        <v>243</v>
      </c>
      <c r="C18" s="68"/>
      <c r="D18" s="68"/>
      <c r="E18" s="68"/>
      <c r="F18" s="69"/>
    </row>
    <row r="19" spans="1:9" s="70" customFormat="1" ht="14.25" x14ac:dyDescent="0.25">
      <c r="A19" s="2" t="s">
        <v>16</v>
      </c>
      <c r="B19" s="14" t="s">
        <v>90</v>
      </c>
      <c r="C19" s="68">
        <f>C20+C27+C30</f>
        <v>689172</v>
      </c>
      <c r="D19" s="68">
        <f>D20+D27+D30</f>
        <v>681948</v>
      </c>
      <c r="E19" s="68">
        <f>E20+E27+E30</f>
        <v>-7224</v>
      </c>
      <c r="F19" s="69">
        <f t="shared" si="0"/>
        <v>98.951785621006067</v>
      </c>
      <c r="G19" s="71"/>
      <c r="H19" s="177"/>
      <c r="I19" s="71"/>
    </row>
    <row r="20" spans="1:9" s="70" customFormat="1" ht="14.25" x14ac:dyDescent="0.25">
      <c r="A20" s="2" t="s">
        <v>83</v>
      </c>
      <c r="B20" s="14" t="s">
        <v>366</v>
      </c>
      <c r="C20" s="68">
        <f>SUM(C21:C26)</f>
        <v>655809</v>
      </c>
      <c r="D20" s="68">
        <f>SUM(D21:D26)</f>
        <v>643748</v>
      </c>
      <c r="E20" s="68">
        <f>SUM(E21:E26)</f>
        <v>-12061</v>
      </c>
      <c r="F20" s="69">
        <f t="shared" si="0"/>
        <v>98.160897456424038</v>
      </c>
    </row>
    <row r="21" spans="1:9" x14ac:dyDescent="0.25">
      <c r="A21" s="3">
        <v>1</v>
      </c>
      <c r="B21" s="4" t="s">
        <v>367</v>
      </c>
      <c r="C21" s="187">
        <v>65235</v>
      </c>
      <c r="D21" s="187">
        <v>39576</v>
      </c>
      <c r="E21" s="187">
        <f t="shared" ref="E21:E26" si="1">D21-C21</f>
        <v>-25659</v>
      </c>
      <c r="F21" s="188">
        <f t="shared" si="0"/>
        <v>60.666819958611171</v>
      </c>
      <c r="H21" s="80"/>
    </row>
    <row r="22" spans="1:9" x14ac:dyDescent="0.25">
      <c r="A22" s="3">
        <v>2</v>
      </c>
      <c r="B22" s="4" t="s">
        <v>96</v>
      </c>
      <c r="C22" s="187">
        <v>577458</v>
      </c>
      <c r="D22" s="187">
        <v>591297</v>
      </c>
      <c r="E22" s="187">
        <f t="shared" si="1"/>
        <v>13839</v>
      </c>
      <c r="F22" s="188">
        <f t="shared" si="0"/>
        <v>102.39653793003127</v>
      </c>
    </row>
    <row r="23" spans="1:9" x14ac:dyDescent="0.25">
      <c r="A23" s="3">
        <v>3</v>
      </c>
      <c r="B23" s="4" t="s">
        <v>97</v>
      </c>
      <c r="C23" s="187"/>
      <c r="D23" s="187"/>
      <c r="E23" s="187">
        <f t="shared" si="1"/>
        <v>0</v>
      </c>
      <c r="F23" s="188"/>
    </row>
    <row r="24" spans="1:9" x14ac:dyDescent="0.25">
      <c r="A24" s="3">
        <v>4</v>
      </c>
      <c r="B24" s="4" t="s">
        <v>1202</v>
      </c>
      <c r="C24" s="187">
        <v>0</v>
      </c>
      <c r="D24" s="187"/>
      <c r="E24" s="187">
        <f t="shared" si="1"/>
        <v>0</v>
      </c>
      <c r="F24" s="188"/>
    </row>
    <row r="25" spans="1:9" x14ac:dyDescent="0.25">
      <c r="A25" s="3">
        <v>5</v>
      </c>
      <c r="B25" s="4" t="s">
        <v>247</v>
      </c>
      <c r="C25" s="187">
        <v>13116</v>
      </c>
      <c r="D25" s="187">
        <v>12875</v>
      </c>
      <c r="E25" s="187">
        <f t="shared" si="1"/>
        <v>-241</v>
      </c>
      <c r="F25" s="188">
        <f t="shared" si="0"/>
        <v>98.162549557792005</v>
      </c>
    </row>
    <row r="26" spans="1:9" x14ac:dyDescent="0.25">
      <c r="A26" s="3">
        <v>6</v>
      </c>
      <c r="B26" s="4" t="s">
        <v>98</v>
      </c>
      <c r="C26" s="187">
        <v>0</v>
      </c>
      <c r="D26" s="187">
        <f>'[1]TONG HOP SO 30'!C79</f>
        <v>0</v>
      </c>
      <c r="E26" s="187">
        <f t="shared" si="1"/>
        <v>0</v>
      </c>
      <c r="F26" s="188"/>
    </row>
    <row r="27" spans="1:9" s="70" customFormat="1" ht="14.25" x14ac:dyDescent="0.25">
      <c r="A27" s="2" t="s">
        <v>70</v>
      </c>
      <c r="B27" s="14" t="s">
        <v>248</v>
      </c>
      <c r="C27" s="68">
        <f>SUM(C28:C29)</f>
        <v>33363</v>
      </c>
      <c r="D27" s="68">
        <f>SUM(D28:D29)</f>
        <v>38200</v>
      </c>
      <c r="E27" s="68">
        <f>SUM(E28:E29)</f>
        <v>4837</v>
      </c>
      <c r="F27" s="69">
        <f t="shared" si="0"/>
        <v>114.4980966939424</v>
      </c>
    </row>
    <row r="28" spans="1:9" x14ac:dyDescent="0.25">
      <c r="A28" s="3">
        <v>1</v>
      </c>
      <c r="B28" s="4" t="s">
        <v>249</v>
      </c>
      <c r="C28" s="187"/>
      <c r="D28" s="187">
        <v>15900</v>
      </c>
      <c r="E28" s="187">
        <f>D28-C28</f>
        <v>15900</v>
      </c>
      <c r="F28" s="188"/>
    </row>
    <row r="29" spans="1:9" x14ac:dyDescent="0.25">
      <c r="A29" s="3">
        <v>2</v>
      </c>
      <c r="B29" s="4" t="s">
        <v>250</v>
      </c>
      <c r="C29" s="187">
        <v>33363</v>
      </c>
      <c r="D29" s="187">
        <f>38200-15900</f>
        <v>22300</v>
      </c>
      <c r="E29" s="187">
        <f>D29-C29</f>
        <v>-11063</v>
      </c>
      <c r="F29" s="188">
        <f t="shared" si="0"/>
        <v>66.84051194436951</v>
      </c>
    </row>
    <row r="30" spans="1:9" x14ac:dyDescent="0.25">
      <c r="A30" s="2" t="s">
        <v>73</v>
      </c>
      <c r="B30" s="14" t="s">
        <v>251</v>
      </c>
      <c r="C30" s="187"/>
      <c r="D30" s="187"/>
      <c r="E30" s="187"/>
      <c r="F30" s="188"/>
    </row>
    <row r="31" spans="1:9" x14ac:dyDescent="0.25">
      <c r="A31" s="2" t="s">
        <v>79</v>
      </c>
      <c r="B31" s="14" t="s">
        <v>252</v>
      </c>
      <c r="C31" s="187"/>
      <c r="D31" s="187"/>
      <c r="E31" s="187"/>
      <c r="F31" s="187"/>
    </row>
    <row r="32" spans="1:9" x14ac:dyDescent="0.25">
      <c r="A32" s="2" t="s">
        <v>89</v>
      </c>
      <c r="B32" s="14" t="s">
        <v>368</v>
      </c>
      <c r="C32" s="187"/>
      <c r="D32" s="187"/>
      <c r="E32" s="187"/>
      <c r="F32" s="187"/>
    </row>
    <row r="33" spans="1:6" ht="20.100000000000001" customHeight="1" x14ac:dyDescent="0.25">
      <c r="A33" s="2" t="s">
        <v>83</v>
      </c>
      <c r="B33" s="14" t="s">
        <v>108</v>
      </c>
      <c r="C33" s="187"/>
      <c r="D33" s="187"/>
      <c r="E33" s="187"/>
      <c r="F33" s="187"/>
    </row>
    <row r="34" spans="1:6" ht="28.5" x14ac:dyDescent="0.25">
      <c r="A34" s="2" t="s">
        <v>70</v>
      </c>
      <c r="B34" s="14" t="s">
        <v>257</v>
      </c>
      <c r="C34" s="187"/>
      <c r="D34" s="187"/>
      <c r="E34" s="187"/>
      <c r="F34" s="187"/>
    </row>
    <row r="35" spans="1:6" ht="20.100000000000001" customHeight="1" x14ac:dyDescent="0.25">
      <c r="A35" s="2" t="s">
        <v>99</v>
      </c>
      <c r="B35" s="14" t="s">
        <v>369</v>
      </c>
      <c r="C35" s="187"/>
      <c r="D35" s="187"/>
      <c r="E35" s="187"/>
      <c r="F35" s="187"/>
    </row>
    <row r="36" spans="1:6" ht="20.100000000000001" customHeight="1" x14ac:dyDescent="0.25">
      <c r="A36" s="2" t="s">
        <v>83</v>
      </c>
      <c r="B36" s="14" t="s">
        <v>371</v>
      </c>
      <c r="C36" s="187"/>
      <c r="D36" s="187"/>
      <c r="E36" s="187"/>
      <c r="F36" s="187"/>
    </row>
    <row r="37" spans="1:6" ht="20.100000000000001" customHeight="1" x14ac:dyDescent="0.25">
      <c r="A37" s="2" t="s">
        <v>70</v>
      </c>
      <c r="B37" s="14" t="s">
        <v>370</v>
      </c>
      <c r="C37" s="187"/>
      <c r="D37" s="187"/>
      <c r="E37" s="187"/>
      <c r="F37" s="187"/>
    </row>
    <row r="38" spans="1:6" ht="43.5" customHeight="1" x14ac:dyDescent="0.25">
      <c r="A38" s="575" t="s">
        <v>372</v>
      </c>
      <c r="B38" s="575"/>
      <c r="C38" s="575"/>
      <c r="D38" s="575"/>
      <c r="E38" s="575"/>
      <c r="F38" s="575"/>
    </row>
  </sheetData>
  <mergeCells count="10">
    <mergeCell ref="D6:D7"/>
    <mergeCell ref="E6:F6"/>
    <mergeCell ref="A38:F38"/>
    <mergeCell ref="A1:F1"/>
    <mergeCell ref="A2:F2"/>
    <mergeCell ref="A3:F3"/>
    <mergeCell ref="E5:F5"/>
    <mergeCell ref="A6:A7"/>
    <mergeCell ref="B6:B7"/>
    <mergeCell ref="C6:C7"/>
  </mergeCells>
  <printOptions horizontalCentered="1"/>
  <pageMargins left="0.11811023622047245" right="0.11811023622047245" top="0.15748031496062992" bottom="0.15748031496062992" header="0.31496062992125984" footer="0.31496062992125984"/>
  <pageSetup paperSize="9" scale="95"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H57"/>
  <sheetViews>
    <sheetView workbookViewId="0">
      <selection activeCell="B11" sqref="B11"/>
    </sheetView>
  </sheetViews>
  <sheetFormatPr defaultColWidth="9.28515625" defaultRowHeight="16.5" customHeight="1" x14ac:dyDescent="0.25"/>
  <cols>
    <col min="1" max="1" width="5.7109375" style="1" customWidth="1"/>
    <col min="2" max="2" width="49.5703125" style="1" customWidth="1"/>
    <col min="3" max="3" width="10.5703125" style="1" customWidth="1"/>
    <col min="4" max="4" width="9.5703125" style="1" customWidth="1"/>
    <col min="5" max="5" width="10.5703125" style="1" customWidth="1"/>
    <col min="6" max="6" width="9.7109375" style="1" customWidth="1"/>
    <col min="7" max="8" width="10.5703125" style="1" customWidth="1"/>
    <col min="9" max="16384" width="9.28515625" style="1"/>
  </cols>
  <sheetData>
    <row r="1" spans="1:8" ht="16.5" customHeight="1" x14ac:dyDescent="0.25">
      <c r="A1" s="559" t="s">
        <v>262</v>
      </c>
      <c r="B1" s="559"/>
      <c r="C1" s="559"/>
      <c r="D1" s="559"/>
      <c r="E1" s="559"/>
      <c r="F1" s="559"/>
      <c r="G1" s="559"/>
      <c r="H1" s="559"/>
    </row>
    <row r="2" spans="1:8" ht="16.5" customHeight="1" x14ac:dyDescent="0.25">
      <c r="A2" s="554" t="s">
        <v>1567</v>
      </c>
      <c r="B2" s="554"/>
      <c r="C2" s="554"/>
      <c r="D2" s="554"/>
      <c r="E2" s="554"/>
      <c r="F2" s="554"/>
      <c r="G2" s="554"/>
      <c r="H2" s="554"/>
    </row>
    <row r="3" spans="1:8" ht="16.5" hidden="1" customHeight="1" x14ac:dyDescent="0.25">
      <c r="A3" s="579" t="s">
        <v>1352</v>
      </c>
      <c r="B3" s="579"/>
      <c r="C3" s="579"/>
      <c r="D3" s="579"/>
      <c r="E3" s="579"/>
      <c r="F3" s="579"/>
      <c r="G3" s="579"/>
      <c r="H3" s="579"/>
    </row>
    <row r="4" spans="1:8" ht="16.5" hidden="1" customHeight="1" x14ac:dyDescent="0.25">
      <c r="A4" s="579" t="s">
        <v>1335</v>
      </c>
      <c r="B4" s="579"/>
      <c r="C4" s="579"/>
      <c r="D4" s="579"/>
      <c r="E4" s="579"/>
      <c r="F4" s="579"/>
      <c r="G4" s="579"/>
      <c r="H4" s="579"/>
    </row>
    <row r="5" spans="1:8" ht="16.5" customHeight="1" x14ac:dyDescent="0.25">
      <c r="A5" s="579" t="s">
        <v>1565</v>
      </c>
      <c r="B5" s="579"/>
      <c r="C5" s="579"/>
      <c r="D5" s="579"/>
      <c r="E5" s="579"/>
      <c r="F5" s="579"/>
      <c r="G5" s="579"/>
      <c r="H5" s="579"/>
    </row>
    <row r="6" spans="1:8" ht="16.5" customHeight="1" x14ac:dyDescent="0.25">
      <c r="G6" s="561" t="s">
        <v>56</v>
      </c>
      <c r="H6" s="561"/>
    </row>
    <row r="7" spans="1:8" s="16" customFormat="1" ht="24.75" customHeight="1" x14ac:dyDescent="0.25">
      <c r="A7" s="558" t="s">
        <v>3</v>
      </c>
      <c r="B7" s="558" t="s">
        <v>4</v>
      </c>
      <c r="C7" s="558" t="s">
        <v>1360</v>
      </c>
      <c r="D7" s="558"/>
      <c r="E7" s="558" t="s">
        <v>1566</v>
      </c>
      <c r="F7" s="558"/>
      <c r="G7" s="558" t="s">
        <v>374</v>
      </c>
      <c r="H7" s="558"/>
    </row>
    <row r="8" spans="1:8" s="16" customFormat="1" ht="29.25" customHeight="1" x14ac:dyDescent="0.25">
      <c r="A8" s="558"/>
      <c r="B8" s="558"/>
      <c r="C8" s="2" t="s">
        <v>375</v>
      </c>
      <c r="D8" s="2" t="s">
        <v>376</v>
      </c>
      <c r="E8" s="2" t="s">
        <v>375</v>
      </c>
      <c r="F8" s="2" t="s">
        <v>376</v>
      </c>
      <c r="G8" s="2" t="s">
        <v>375</v>
      </c>
      <c r="H8" s="2" t="s">
        <v>376</v>
      </c>
    </row>
    <row r="9" spans="1:8" ht="16.5" customHeight="1" x14ac:dyDescent="0.25">
      <c r="A9" s="2" t="s">
        <v>15</v>
      </c>
      <c r="B9" s="2" t="s">
        <v>16</v>
      </c>
      <c r="C9" s="2">
        <v>1</v>
      </c>
      <c r="D9" s="2">
        <v>2</v>
      </c>
      <c r="E9" s="2">
        <v>3</v>
      </c>
      <c r="F9" s="2">
        <v>4</v>
      </c>
      <c r="G9" s="2" t="s">
        <v>377</v>
      </c>
      <c r="H9" s="2" t="s">
        <v>378</v>
      </c>
    </row>
    <row r="10" spans="1:8" ht="16.5" customHeight="1" x14ac:dyDescent="0.25">
      <c r="A10" s="2"/>
      <c r="B10" s="14" t="s">
        <v>379</v>
      </c>
      <c r="C10" s="187"/>
      <c r="D10" s="187"/>
      <c r="E10" s="187"/>
      <c r="F10" s="187"/>
      <c r="G10" s="187"/>
      <c r="H10" s="187"/>
    </row>
    <row r="11" spans="1:8" s="70" customFormat="1" ht="16.5" customHeight="1" x14ac:dyDescent="0.25">
      <c r="A11" s="2" t="s">
        <v>83</v>
      </c>
      <c r="B11" s="14" t="s">
        <v>65</v>
      </c>
      <c r="C11" s="68">
        <f>SUM(C12:C21)+C24+C25+SUM(C30:C42)</f>
        <v>65800</v>
      </c>
      <c r="D11" s="68">
        <f>SUM(D12:D21)+D24+D25+SUM(D30:D42)</f>
        <v>63900</v>
      </c>
      <c r="E11" s="68">
        <f>SUM(E12:E21)+E24+E25+SUM(E30:E42)</f>
        <v>113550</v>
      </c>
      <c r="F11" s="68">
        <f>SUM(F12:F21)+F24+F25+SUM(F30:F42)</f>
        <v>111550</v>
      </c>
      <c r="G11" s="69">
        <f>E11/C11*100</f>
        <v>172.56838905775075</v>
      </c>
      <c r="H11" s="69">
        <f>F11/D11*100</f>
        <v>174.56964006259781</v>
      </c>
    </row>
    <row r="12" spans="1:8" ht="16.5" customHeight="1" x14ac:dyDescent="0.25">
      <c r="A12" s="578">
        <v>1</v>
      </c>
      <c r="B12" s="4" t="s">
        <v>380</v>
      </c>
      <c r="C12" s="577"/>
      <c r="D12" s="577"/>
      <c r="E12" s="577"/>
      <c r="F12" s="577"/>
      <c r="G12" s="577"/>
      <c r="H12" s="577"/>
    </row>
    <row r="13" spans="1:8" ht="16.5" customHeight="1" x14ac:dyDescent="0.25">
      <c r="A13" s="578"/>
      <c r="B13" s="4" t="s">
        <v>381</v>
      </c>
      <c r="C13" s="577"/>
      <c r="D13" s="577"/>
      <c r="E13" s="577"/>
      <c r="F13" s="577"/>
      <c r="G13" s="577"/>
      <c r="H13" s="577"/>
    </row>
    <row r="14" spans="1:8" ht="16.5" customHeight="1" x14ac:dyDescent="0.25">
      <c r="A14" s="578">
        <v>2</v>
      </c>
      <c r="B14" s="4" t="s">
        <v>382</v>
      </c>
      <c r="C14" s="577"/>
      <c r="D14" s="577"/>
      <c r="E14" s="577"/>
      <c r="F14" s="577"/>
      <c r="G14" s="577"/>
      <c r="H14" s="577"/>
    </row>
    <row r="15" spans="1:8" ht="16.5" customHeight="1" x14ac:dyDescent="0.25">
      <c r="A15" s="578"/>
      <c r="B15" s="4" t="s">
        <v>381</v>
      </c>
      <c r="C15" s="577"/>
      <c r="D15" s="577"/>
      <c r="E15" s="577"/>
      <c r="F15" s="577"/>
      <c r="G15" s="577"/>
      <c r="H15" s="577"/>
    </row>
    <row r="16" spans="1:8" ht="16.5" customHeight="1" x14ac:dyDescent="0.25">
      <c r="A16" s="578">
        <v>3</v>
      </c>
      <c r="B16" s="4" t="s">
        <v>383</v>
      </c>
      <c r="C16" s="577"/>
      <c r="D16" s="577"/>
      <c r="E16" s="577"/>
      <c r="F16" s="577"/>
      <c r="G16" s="577"/>
      <c r="H16" s="577"/>
    </row>
    <row r="17" spans="1:8" ht="16.5" customHeight="1" x14ac:dyDescent="0.25">
      <c r="A17" s="578"/>
      <c r="B17" s="4" t="s">
        <v>384</v>
      </c>
      <c r="C17" s="577"/>
      <c r="D17" s="577"/>
      <c r="E17" s="577"/>
      <c r="F17" s="577"/>
      <c r="G17" s="577"/>
      <c r="H17" s="577"/>
    </row>
    <row r="18" spans="1:8" ht="16.5" customHeight="1" x14ac:dyDescent="0.25">
      <c r="A18" s="578">
        <v>4</v>
      </c>
      <c r="B18" s="4" t="s">
        <v>385</v>
      </c>
      <c r="C18" s="577">
        <v>27000</v>
      </c>
      <c r="D18" s="577">
        <f>C18</f>
        <v>27000</v>
      </c>
      <c r="E18" s="577">
        <v>49550</v>
      </c>
      <c r="F18" s="577">
        <f>E18</f>
        <v>49550</v>
      </c>
      <c r="G18" s="580">
        <f>E18/C18*100</f>
        <v>183.51851851851853</v>
      </c>
      <c r="H18" s="582">
        <f>F18/D18*100</f>
        <v>183.51851851851853</v>
      </c>
    </row>
    <row r="19" spans="1:8" ht="16.5" customHeight="1" x14ac:dyDescent="0.25">
      <c r="A19" s="578"/>
      <c r="B19" s="4" t="s">
        <v>381</v>
      </c>
      <c r="C19" s="577"/>
      <c r="D19" s="577"/>
      <c r="E19" s="577"/>
      <c r="F19" s="577"/>
      <c r="G19" s="581"/>
      <c r="H19" s="582"/>
    </row>
    <row r="20" spans="1:8" ht="16.5" customHeight="1" x14ac:dyDescent="0.25">
      <c r="A20" s="3">
        <v>5</v>
      </c>
      <c r="B20" s="4" t="s">
        <v>279</v>
      </c>
      <c r="C20" s="187">
        <v>13000</v>
      </c>
      <c r="D20" s="187">
        <f>C20</f>
        <v>13000</v>
      </c>
      <c r="E20" s="187">
        <v>26750</v>
      </c>
      <c r="F20" s="187">
        <f>E20</f>
        <v>26750</v>
      </c>
      <c r="G20" s="188">
        <f>E20/C20*100</f>
        <v>205.76923076923075</v>
      </c>
      <c r="H20" s="188">
        <f>F20/D20*100</f>
        <v>205.76923076923075</v>
      </c>
    </row>
    <row r="21" spans="1:8" ht="16.5" customHeight="1" x14ac:dyDescent="0.25">
      <c r="A21" s="3">
        <v>6</v>
      </c>
      <c r="B21" s="4" t="s">
        <v>280</v>
      </c>
      <c r="C21" s="187"/>
      <c r="D21" s="187"/>
      <c r="E21" s="187"/>
      <c r="F21" s="187"/>
      <c r="G21" s="187"/>
      <c r="H21" s="188"/>
    </row>
    <row r="22" spans="1:8" ht="30" x14ac:dyDescent="0.25">
      <c r="A22" s="3" t="s">
        <v>22</v>
      </c>
      <c r="B22" s="5" t="s">
        <v>386</v>
      </c>
      <c r="C22" s="187"/>
      <c r="D22" s="187"/>
      <c r="E22" s="187"/>
      <c r="F22" s="187"/>
      <c r="G22" s="187"/>
      <c r="H22" s="188"/>
    </row>
    <row r="23" spans="1:8" ht="16.5" customHeight="1" x14ac:dyDescent="0.25">
      <c r="A23" s="3" t="s">
        <v>22</v>
      </c>
      <c r="B23" s="5" t="s">
        <v>387</v>
      </c>
      <c r="C23" s="187"/>
      <c r="D23" s="187"/>
      <c r="E23" s="187"/>
      <c r="F23" s="187"/>
      <c r="G23" s="187"/>
      <c r="H23" s="188"/>
    </row>
    <row r="24" spans="1:8" ht="16.5" customHeight="1" x14ac:dyDescent="0.25">
      <c r="A24" s="3">
        <v>7</v>
      </c>
      <c r="B24" s="4" t="s">
        <v>388</v>
      </c>
      <c r="C24" s="187">
        <v>16200</v>
      </c>
      <c r="D24" s="187">
        <f>C24</f>
        <v>16200</v>
      </c>
      <c r="E24" s="187">
        <v>26250</v>
      </c>
      <c r="F24" s="187">
        <f>E24</f>
        <v>26250</v>
      </c>
      <c r="G24" s="188">
        <f>E24/C24*100</f>
        <v>162.03703703703704</v>
      </c>
      <c r="H24" s="188">
        <f>F24/D24*100</f>
        <v>162.03703703703704</v>
      </c>
    </row>
    <row r="25" spans="1:8" ht="16.5" customHeight="1" x14ac:dyDescent="0.25">
      <c r="A25" s="3">
        <v>8</v>
      </c>
      <c r="B25" s="4" t="s">
        <v>389</v>
      </c>
      <c r="C25" s="187">
        <v>3400</v>
      </c>
      <c r="D25" s="187">
        <f>C25</f>
        <v>3400</v>
      </c>
      <c r="E25" s="187">
        <v>3300</v>
      </c>
      <c r="F25" s="187">
        <f>E25</f>
        <v>3300</v>
      </c>
      <c r="G25" s="188">
        <f>E25/C25*100</f>
        <v>97.058823529411768</v>
      </c>
      <c r="H25" s="188">
        <f>F25/D25*100</f>
        <v>97.058823529411768</v>
      </c>
    </row>
    <row r="26" spans="1:8" ht="16.5" customHeight="1" x14ac:dyDescent="0.25">
      <c r="A26" s="3" t="s">
        <v>22</v>
      </c>
      <c r="B26" s="5" t="s">
        <v>390</v>
      </c>
      <c r="C26" s="187"/>
      <c r="D26" s="187"/>
      <c r="E26" s="187"/>
      <c r="F26" s="187"/>
      <c r="G26" s="187"/>
      <c r="H26" s="187"/>
    </row>
    <row r="27" spans="1:8" ht="16.5" customHeight="1" x14ac:dyDescent="0.25">
      <c r="A27" s="3" t="s">
        <v>22</v>
      </c>
      <c r="B27" s="5" t="s">
        <v>413</v>
      </c>
      <c r="C27" s="187"/>
      <c r="D27" s="187"/>
      <c r="E27" s="187"/>
      <c r="F27" s="187"/>
      <c r="G27" s="187"/>
      <c r="H27" s="187"/>
    </row>
    <row r="28" spans="1:8" ht="16.5" customHeight="1" x14ac:dyDescent="0.25">
      <c r="A28" s="3" t="s">
        <v>22</v>
      </c>
      <c r="B28" s="5" t="s">
        <v>391</v>
      </c>
      <c r="C28" s="187"/>
      <c r="D28" s="187"/>
      <c r="E28" s="187"/>
      <c r="F28" s="187"/>
      <c r="G28" s="187"/>
      <c r="H28" s="187"/>
    </row>
    <row r="29" spans="1:8" ht="16.5" customHeight="1" x14ac:dyDescent="0.25">
      <c r="A29" s="3" t="s">
        <v>22</v>
      </c>
      <c r="B29" s="5" t="s">
        <v>392</v>
      </c>
      <c r="C29" s="187"/>
      <c r="D29" s="187"/>
      <c r="E29" s="187"/>
      <c r="F29" s="187"/>
      <c r="G29" s="187"/>
      <c r="H29" s="187"/>
    </row>
    <row r="30" spans="1:8" ht="16.5" customHeight="1" x14ac:dyDescent="0.25">
      <c r="A30" s="3">
        <v>9</v>
      </c>
      <c r="B30" s="4" t="s">
        <v>393</v>
      </c>
      <c r="C30" s="187"/>
      <c r="D30" s="187"/>
      <c r="E30" s="187"/>
      <c r="F30" s="187"/>
      <c r="G30" s="187"/>
      <c r="H30" s="187"/>
    </row>
    <row r="31" spans="1:8" ht="16.5" customHeight="1" x14ac:dyDescent="0.25">
      <c r="A31" s="3">
        <v>10</v>
      </c>
      <c r="B31" s="4" t="s">
        <v>394</v>
      </c>
      <c r="C31" s="187"/>
      <c r="D31" s="187"/>
      <c r="E31" s="187"/>
      <c r="F31" s="187"/>
      <c r="G31" s="187"/>
      <c r="H31" s="187"/>
    </row>
    <row r="32" spans="1:8" ht="16.5" customHeight="1" x14ac:dyDescent="0.25">
      <c r="A32" s="3">
        <v>11</v>
      </c>
      <c r="B32" s="4" t="s">
        <v>395</v>
      </c>
      <c r="C32" s="187"/>
      <c r="D32" s="187"/>
      <c r="E32" s="187"/>
      <c r="F32" s="187"/>
      <c r="G32" s="187"/>
      <c r="H32" s="187"/>
    </row>
    <row r="33" spans="1:8" ht="16.5" customHeight="1" x14ac:dyDescent="0.25">
      <c r="A33" s="3">
        <v>12</v>
      </c>
      <c r="B33" s="4" t="s">
        <v>282</v>
      </c>
      <c r="C33" s="187">
        <v>2500</v>
      </c>
      <c r="D33" s="187">
        <f>C33</f>
        <v>2500</v>
      </c>
      <c r="E33" s="187">
        <v>3500</v>
      </c>
      <c r="F33" s="187">
        <f>E33</f>
        <v>3500</v>
      </c>
      <c r="G33" s="188">
        <f>E33/C33*100</f>
        <v>140</v>
      </c>
      <c r="H33" s="188">
        <f>F33/D33*100</f>
        <v>140</v>
      </c>
    </row>
    <row r="34" spans="1:8" ht="16.5" customHeight="1" x14ac:dyDescent="0.25">
      <c r="A34" s="3">
        <v>13</v>
      </c>
      <c r="B34" s="4" t="s">
        <v>396</v>
      </c>
      <c r="C34" s="187"/>
      <c r="D34" s="187"/>
      <c r="E34" s="187"/>
      <c r="F34" s="187"/>
      <c r="G34" s="187"/>
      <c r="H34" s="187"/>
    </row>
    <row r="35" spans="1:8" ht="16.5" customHeight="1" x14ac:dyDescent="0.25">
      <c r="A35" s="578">
        <v>14</v>
      </c>
      <c r="B35" s="4" t="s">
        <v>397</v>
      </c>
      <c r="C35" s="577"/>
      <c r="D35" s="577"/>
      <c r="E35" s="577"/>
      <c r="F35" s="577"/>
      <c r="G35" s="577"/>
      <c r="H35" s="577"/>
    </row>
    <row r="36" spans="1:8" ht="16.5" customHeight="1" x14ac:dyDescent="0.25">
      <c r="A36" s="578"/>
      <c r="B36" s="4" t="s">
        <v>381</v>
      </c>
      <c r="C36" s="577"/>
      <c r="D36" s="577"/>
      <c r="E36" s="577"/>
      <c r="F36" s="577"/>
      <c r="G36" s="577"/>
      <c r="H36" s="577"/>
    </row>
    <row r="37" spans="1:8" ht="16.5" customHeight="1" x14ac:dyDescent="0.25">
      <c r="A37" s="3">
        <v>15</v>
      </c>
      <c r="B37" s="4" t="s">
        <v>398</v>
      </c>
      <c r="C37" s="187"/>
      <c r="D37" s="187"/>
      <c r="E37" s="187"/>
      <c r="F37" s="187"/>
      <c r="G37" s="187"/>
      <c r="H37" s="187"/>
    </row>
    <row r="38" spans="1:8" ht="16.5" customHeight="1" x14ac:dyDescent="0.25">
      <c r="A38" s="3">
        <v>16</v>
      </c>
      <c r="B38" s="4" t="s">
        <v>399</v>
      </c>
      <c r="C38" s="187">
        <f>1800+1500+400</f>
        <v>3700</v>
      </c>
      <c r="D38" s="187">
        <v>1800</v>
      </c>
      <c r="E38" s="187">
        <f>2200+1600+400</f>
        <v>4200</v>
      </c>
      <c r="F38" s="187">
        <v>2200</v>
      </c>
      <c r="G38" s="188">
        <f>E38/C38*100</f>
        <v>113.51351351351352</v>
      </c>
      <c r="H38" s="188">
        <f>F38/D38*100</f>
        <v>122.22222222222223</v>
      </c>
    </row>
    <row r="39" spans="1:8" ht="16.5" customHeight="1" x14ac:dyDescent="0.25">
      <c r="A39" s="3">
        <v>17</v>
      </c>
      <c r="B39" s="4" t="s">
        <v>400</v>
      </c>
      <c r="C39" s="187"/>
      <c r="D39" s="187"/>
      <c r="E39" s="187"/>
      <c r="F39" s="187"/>
      <c r="G39" s="187"/>
      <c r="H39" s="187"/>
    </row>
    <row r="40" spans="1:8" ht="16.5" customHeight="1" x14ac:dyDescent="0.25">
      <c r="A40" s="3">
        <v>18</v>
      </c>
      <c r="B40" s="4" t="s">
        <v>401</v>
      </c>
      <c r="C40" s="187"/>
      <c r="D40" s="187"/>
      <c r="E40" s="187"/>
      <c r="F40" s="187"/>
      <c r="G40" s="187"/>
      <c r="H40" s="187"/>
    </row>
    <row r="41" spans="1:8" ht="45" x14ac:dyDescent="0.25">
      <c r="A41" s="3">
        <v>19</v>
      </c>
      <c r="B41" s="4" t="s">
        <v>957</v>
      </c>
      <c r="C41" s="187"/>
      <c r="D41" s="187"/>
      <c r="E41" s="187"/>
      <c r="F41" s="187"/>
      <c r="G41" s="187"/>
      <c r="H41" s="187"/>
    </row>
    <row r="42" spans="1:8" ht="16.5" customHeight="1" x14ac:dyDescent="0.25">
      <c r="A42" s="3">
        <v>20</v>
      </c>
      <c r="B42" s="4" t="s">
        <v>402</v>
      </c>
      <c r="C42" s="187"/>
      <c r="D42" s="187"/>
      <c r="E42" s="187"/>
      <c r="F42" s="187"/>
      <c r="G42" s="187"/>
      <c r="H42" s="187"/>
    </row>
    <row r="43" spans="1:8" ht="16.5" customHeight="1" x14ac:dyDescent="0.25">
      <c r="A43" s="2" t="s">
        <v>70</v>
      </c>
      <c r="B43" s="14" t="s">
        <v>285</v>
      </c>
      <c r="C43" s="187"/>
      <c r="D43" s="187"/>
      <c r="E43" s="187"/>
      <c r="F43" s="187"/>
      <c r="G43" s="187"/>
      <c r="H43" s="187"/>
    </row>
    <row r="44" spans="1:8" ht="16.5" customHeight="1" x14ac:dyDescent="0.25">
      <c r="A44" s="2" t="s">
        <v>73</v>
      </c>
      <c r="B44" s="14" t="s">
        <v>403</v>
      </c>
      <c r="C44" s="187"/>
      <c r="D44" s="187"/>
      <c r="E44" s="187"/>
      <c r="F44" s="187"/>
      <c r="G44" s="187"/>
      <c r="H44" s="187"/>
    </row>
    <row r="45" spans="1:8" ht="16.5" customHeight="1" x14ac:dyDescent="0.25">
      <c r="A45" s="3">
        <v>1</v>
      </c>
      <c r="B45" s="4" t="s">
        <v>404</v>
      </c>
      <c r="C45" s="187"/>
      <c r="D45" s="187"/>
      <c r="E45" s="187"/>
      <c r="F45" s="187"/>
      <c r="G45" s="187"/>
      <c r="H45" s="187"/>
    </row>
    <row r="46" spans="1:8" ht="16.5" customHeight="1" x14ac:dyDescent="0.25">
      <c r="A46" s="3">
        <v>2</v>
      </c>
      <c r="B46" s="4" t="s">
        <v>405</v>
      </c>
      <c r="C46" s="187"/>
      <c r="D46" s="187"/>
      <c r="E46" s="187"/>
      <c r="F46" s="187"/>
      <c r="G46" s="187"/>
      <c r="H46" s="187"/>
    </row>
    <row r="47" spans="1:8" ht="16.5" customHeight="1" x14ac:dyDescent="0.25">
      <c r="A47" s="3">
        <v>3</v>
      </c>
      <c r="B47" s="4" t="s">
        <v>406</v>
      </c>
      <c r="C47" s="187"/>
      <c r="D47" s="187"/>
      <c r="E47" s="187"/>
      <c r="F47" s="187"/>
      <c r="G47" s="187"/>
      <c r="H47" s="187"/>
    </row>
    <row r="48" spans="1:8" ht="16.5" customHeight="1" x14ac:dyDescent="0.25">
      <c r="A48" s="3">
        <v>4</v>
      </c>
      <c r="B48" s="4" t="s">
        <v>407</v>
      </c>
      <c r="C48" s="187"/>
      <c r="D48" s="187"/>
      <c r="E48" s="187"/>
      <c r="F48" s="187"/>
      <c r="G48" s="187"/>
      <c r="H48" s="187"/>
    </row>
    <row r="49" spans="1:8" ht="16.5" customHeight="1" x14ac:dyDescent="0.25">
      <c r="A49" s="3">
        <v>5</v>
      </c>
      <c r="B49" s="4" t="s">
        <v>408</v>
      </c>
      <c r="C49" s="187"/>
      <c r="D49" s="187"/>
      <c r="E49" s="187"/>
      <c r="F49" s="187"/>
      <c r="G49" s="187"/>
      <c r="H49" s="187"/>
    </row>
    <row r="50" spans="1:8" ht="16.5" customHeight="1" x14ac:dyDescent="0.25">
      <c r="A50" s="3">
        <v>6</v>
      </c>
      <c r="B50" s="4" t="s">
        <v>409</v>
      </c>
      <c r="C50" s="187"/>
      <c r="D50" s="187"/>
      <c r="E50" s="187"/>
      <c r="F50" s="187"/>
      <c r="G50" s="187"/>
      <c r="H50" s="187"/>
    </row>
    <row r="51" spans="1:8" ht="16.5" customHeight="1" x14ac:dyDescent="0.25">
      <c r="A51" s="2" t="s">
        <v>77</v>
      </c>
      <c r="B51" s="14" t="s">
        <v>410</v>
      </c>
      <c r="C51" s="187"/>
      <c r="D51" s="187"/>
      <c r="E51" s="187"/>
      <c r="F51" s="187"/>
      <c r="G51" s="187"/>
      <c r="H51" s="187"/>
    </row>
    <row r="52" spans="1:8" ht="16.5" customHeight="1" x14ac:dyDescent="0.25">
      <c r="A52" s="15"/>
    </row>
    <row r="53" spans="1:8" ht="36" customHeight="1" x14ac:dyDescent="0.25">
      <c r="A53" s="562"/>
      <c r="B53" s="562"/>
      <c r="C53" s="562"/>
      <c r="D53" s="562"/>
      <c r="E53" s="562"/>
      <c r="F53" s="562"/>
      <c r="G53" s="562"/>
      <c r="H53" s="562"/>
    </row>
    <row r="54" spans="1:8" ht="36" customHeight="1" x14ac:dyDescent="0.25">
      <c r="A54" s="562"/>
      <c r="B54" s="562"/>
      <c r="C54" s="562"/>
      <c r="D54" s="562"/>
      <c r="E54" s="562"/>
      <c r="F54" s="562"/>
      <c r="G54" s="562"/>
      <c r="H54" s="562"/>
    </row>
    <row r="55" spans="1:8" ht="36" customHeight="1" x14ac:dyDescent="0.25">
      <c r="A55" s="562"/>
      <c r="B55" s="562"/>
      <c r="C55" s="562"/>
      <c r="D55" s="562"/>
      <c r="E55" s="562"/>
      <c r="F55" s="562"/>
      <c r="G55" s="562"/>
      <c r="H55" s="562"/>
    </row>
    <row r="56" spans="1:8" ht="36" customHeight="1" x14ac:dyDescent="0.25">
      <c r="A56" s="562"/>
      <c r="B56" s="562"/>
      <c r="C56" s="562"/>
      <c r="D56" s="562"/>
      <c r="E56" s="562"/>
      <c r="F56" s="562"/>
      <c r="G56" s="562"/>
      <c r="H56" s="562"/>
    </row>
    <row r="57" spans="1:8" ht="66.75" customHeight="1" x14ac:dyDescent="0.25">
      <c r="A57" s="562"/>
      <c r="B57" s="562"/>
      <c r="C57" s="562"/>
      <c r="D57" s="562"/>
      <c r="E57" s="562"/>
      <c r="F57" s="562"/>
      <c r="G57" s="562"/>
      <c r="H57" s="562"/>
    </row>
  </sheetData>
  <mergeCells count="51">
    <mergeCell ref="A3:H3"/>
    <mergeCell ref="A4:H4"/>
    <mergeCell ref="A54:H54"/>
    <mergeCell ref="A55:H55"/>
    <mergeCell ref="A56:H56"/>
    <mergeCell ref="D18:D19"/>
    <mergeCell ref="E18:E19"/>
    <mergeCell ref="F18:F19"/>
    <mergeCell ref="G18:G19"/>
    <mergeCell ref="H18:H19"/>
    <mergeCell ref="A57:H57"/>
    <mergeCell ref="H35:H36"/>
    <mergeCell ref="A1:H1"/>
    <mergeCell ref="A2:H2"/>
    <mergeCell ref="A5:H5"/>
    <mergeCell ref="G6:H6"/>
    <mergeCell ref="A53:H53"/>
    <mergeCell ref="A35:A36"/>
    <mergeCell ref="C35:C36"/>
    <mergeCell ref="D35:D36"/>
    <mergeCell ref="A16:A17"/>
    <mergeCell ref="C16:C17"/>
    <mergeCell ref="D16:D17"/>
    <mergeCell ref="E16:E17"/>
    <mergeCell ref="F16:F17"/>
    <mergeCell ref="G16:G17"/>
    <mergeCell ref="G14:G15"/>
    <mergeCell ref="H14:H15"/>
    <mergeCell ref="A12:A13"/>
    <mergeCell ref="E35:E36"/>
    <mergeCell ref="F35:F36"/>
    <mergeCell ref="G35:G36"/>
    <mergeCell ref="H16:H17"/>
    <mergeCell ref="A18:A19"/>
    <mergeCell ref="C18:C19"/>
    <mergeCell ref="A14:A15"/>
    <mergeCell ref="C14:C15"/>
    <mergeCell ref="D14:D15"/>
    <mergeCell ref="E14:E15"/>
    <mergeCell ref="F14:F15"/>
    <mergeCell ref="A7:A8"/>
    <mergeCell ref="B7:B8"/>
    <mergeCell ref="C7:D7"/>
    <mergeCell ref="E7:F7"/>
    <mergeCell ref="G12:G13"/>
    <mergeCell ref="G7:H7"/>
    <mergeCell ref="C12:C13"/>
    <mergeCell ref="D12:D13"/>
    <mergeCell ref="E12:E13"/>
    <mergeCell ref="F12:F13"/>
    <mergeCell ref="H12:H13"/>
  </mergeCells>
  <printOptions horizontalCentered="1"/>
  <pageMargins left="0.11811023622047245" right="0.11811023622047245" top="0.15748031496062992" bottom="0.15748031496062992" header="0.31496062992125984" footer="0.31496062992125984"/>
  <pageSetup paperSize="9" scale="85"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H36"/>
  <sheetViews>
    <sheetView workbookViewId="0">
      <selection activeCell="B11" sqref="B11"/>
    </sheetView>
  </sheetViews>
  <sheetFormatPr defaultColWidth="9.28515625" defaultRowHeight="15" x14ac:dyDescent="0.25"/>
  <cols>
    <col min="1" max="1" width="6.28515625" style="1" customWidth="1"/>
    <col min="2" max="2" width="49.42578125" style="1" customWidth="1"/>
    <col min="3" max="6" width="13.5703125" style="1" customWidth="1"/>
    <col min="7" max="7" width="9.28515625" style="1"/>
    <col min="8" max="8" width="9.42578125" style="1" bestFit="1" customWidth="1"/>
    <col min="9" max="16384" width="9.28515625" style="1"/>
  </cols>
  <sheetData>
    <row r="1" spans="1:8" x14ac:dyDescent="0.25">
      <c r="A1" s="559" t="s">
        <v>294</v>
      </c>
      <c r="B1" s="559"/>
      <c r="C1" s="559"/>
      <c r="D1" s="559"/>
      <c r="E1" s="559"/>
      <c r="F1" s="559"/>
    </row>
    <row r="2" spans="1:8" ht="15.75" x14ac:dyDescent="0.25">
      <c r="A2" s="583" t="s">
        <v>1568</v>
      </c>
      <c r="B2" s="583"/>
      <c r="C2" s="583"/>
      <c r="D2" s="583"/>
      <c r="E2" s="583"/>
      <c r="F2" s="583"/>
    </row>
    <row r="3" spans="1:8" ht="15.75" hidden="1" x14ac:dyDescent="0.25">
      <c r="A3" s="579" t="s">
        <v>1352</v>
      </c>
      <c r="B3" s="579"/>
      <c r="C3" s="579"/>
      <c r="D3" s="579"/>
      <c r="E3" s="579"/>
      <c r="F3" s="579"/>
    </row>
    <row r="4" spans="1:8" ht="15.75" hidden="1" x14ac:dyDescent="0.25">
      <c r="A4" s="579" t="s">
        <v>1335</v>
      </c>
      <c r="B4" s="579"/>
      <c r="C4" s="579"/>
      <c r="D4" s="579"/>
      <c r="E4" s="579"/>
      <c r="F4" s="579"/>
    </row>
    <row r="5" spans="1:8" ht="15.75" customHeight="1" x14ac:dyDescent="0.25">
      <c r="A5" s="579" t="s">
        <v>1565</v>
      </c>
      <c r="B5" s="579"/>
      <c r="C5" s="579"/>
      <c r="D5" s="579"/>
      <c r="E5" s="579"/>
      <c r="F5" s="579"/>
      <c r="G5" s="154"/>
      <c r="H5" s="154"/>
    </row>
    <row r="6" spans="1:8" x14ac:dyDescent="0.25">
      <c r="E6" s="561" t="s">
        <v>56</v>
      </c>
      <c r="F6" s="561"/>
    </row>
    <row r="7" spans="1:8" ht="15" customHeight="1" x14ac:dyDescent="0.25">
      <c r="A7" s="558" t="s">
        <v>3</v>
      </c>
      <c r="B7" s="558" t="s">
        <v>355</v>
      </c>
      <c r="C7" s="558" t="s">
        <v>1360</v>
      </c>
      <c r="D7" s="569" t="s">
        <v>1566</v>
      </c>
      <c r="E7" s="558" t="s">
        <v>229</v>
      </c>
      <c r="F7" s="558"/>
    </row>
    <row r="8" spans="1:8" ht="28.5" x14ac:dyDescent="0.25">
      <c r="A8" s="558"/>
      <c r="B8" s="558"/>
      <c r="C8" s="558"/>
      <c r="D8" s="569"/>
      <c r="E8" s="2" t="s">
        <v>233</v>
      </c>
      <c r="F8" s="2" t="s">
        <v>415</v>
      </c>
    </row>
    <row r="9" spans="1:8" x14ac:dyDescent="0.25">
      <c r="A9" s="2" t="s">
        <v>15</v>
      </c>
      <c r="B9" s="2" t="s">
        <v>16</v>
      </c>
      <c r="C9" s="2">
        <v>1</v>
      </c>
      <c r="D9" s="17">
        <v>2</v>
      </c>
      <c r="E9" s="2" t="s">
        <v>359</v>
      </c>
      <c r="F9" s="2" t="s">
        <v>360</v>
      </c>
    </row>
    <row r="10" spans="1:8" s="70" customFormat="1" ht="14.25" x14ac:dyDescent="0.25">
      <c r="A10" s="2"/>
      <c r="B10" s="14" t="s">
        <v>90</v>
      </c>
      <c r="C10" s="72">
        <f>C11+C30+C35</f>
        <v>689172</v>
      </c>
      <c r="D10" s="178">
        <f>D11+D30+D35</f>
        <v>681948</v>
      </c>
      <c r="E10" s="72">
        <f>E11+E30+E35</f>
        <v>-7224</v>
      </c>
      <c r="F10" s="73">
        <f>D10/C10*100</f>
        <v>98.951785621006067</v>
      </c>
      <c r="H10" s="71"/>
    </row>
    <row r="11" spans="1:8" s="70" customFormat="1" ht="14.25" x14ac:dyDescent="0.25">
      <c r="A11" s="2" t="s">
        <v>15</v>
      </c>
      <c r="B11" s="14" t="s">
        <v>416</v>
      </c>
      <c r="C11" s="72">
        <f>C12+C22+C26+C27+C28+C29</f>
        <v>658159</v>
      </c>
      <c r="D11" s="178">
        <f>D12+D22+D26+D27+D28+D29</f>
        <v>646048</v>
      </c>
      <c r="E11" s="72">
        <f>E12+E22+E26+E27+E28+E29</f>
        <v>-12111</v>
      </c>
      <c r="F11" s="73">
        <f>D11/C11*100</f>
        <v>98.159867144565368</v>
      </c>
    </row>
    <row r="12" spans="1:8" s="70" customFormat="1" ht="14.25" x14ac:dyDescent="0.25">
      <c r="A12" s="2" t="s">
        <v>83</v>
      </c>
      <c r="B12" s="14" t="s">
        <v>367</v>
      </c>
      <c r="C12" s="72">
        <f>C13+C20+C21</f>
        <v>67585</v>
      </c>
      <c r="D12" s="178">
        <f>D13+D20+D21</f>
        <v>41876</v>
      </c>
      <c r="E12" s="72">
        <f>E13+E20+E21</f>
        <v>-25709</v>
      </c>
      <c r="F12" s="73">
        <f>D12/C12*100</f>
        <v>61.960494192498338</v>
      </c>
    </row>
    <row r="13" spans="1:8" x14ac:dyDescent="0.25">
      <c r="A13" s="3">
        <v>1</v>
      </c>
      <c r="B13" s="4" t="s">
        <v>417</v>
      </c>
      <c r="C13" s="82">
        <v>65235</v>
      </c>
      <c r="D13" s="82">
        <v>39576</v>
      </c>
      <c r="E13" s="74">
        <f>D13-C13</f>
        <v>-25659</v>
      </c>
      <c r="F13" s="75">
        <f>D13/C13*100</f>
        <v>60.666819958611171</v>
      </c>
    </row>
    <row r="14" spans="1:8" s="6" customFormat="1" x14ac:dyDescent="0.25">
      <c r="A14" s="22"/>
      <c r="B14" s="5" t="s">
        <v>418</v>
      </c>
      <c r="C14" s="76"/>
      <c r="D14" s="179"/>
      <c r="E14" s="76"/>
      <c r="F14" s="77"/>
    </row>
    <row r="15" spans="1:8" s="6" customFormat="1" x14ac:dyDescent="0.25">
      <c r="A15" s="22" t="s">
        <v>22</v>
      </c>
      <c r="B15" s="5" t="s">
        <v>419</v>
      </c>
      <c r="C15" s="76"/>
      <c r="D15" s="179"/>
      <c r="E15" s="76">
        <f t="shared" ref="E15:E28" si="0">D15-C15</f>
        <v>0</v>
      </c>
      <c r="F15" s="77"/>
    </row>
    <row r="16" spans="1:8" s="6" customFormat="1" x14ac:dyDescent="0.25">
      <c r="A16" s="22" t="s">
        <v>22</v>
      </c>
      <c r="B16" s="5" t="s">
        <v>420</v>
      </c>
      <c r="C16" s="76"/>
      <c r="D16" s="179"/>
      <c r="E16" s="76">
        <f t="shared" si="0"/>
        <v>0</v>
      </c>
      <c r="F16" s="77"/>
    </row>
    <row r="17" spans="1:6" s="6" customFormat="1" x14ac:dyDescent="0.25">
      <c r="A17" s="22"/>
      <c r="B17" s="5" t="s">
        <v>421</v>
      </c>
      <c r="C17" s="76"/>
      <c r="D17" s="179"/>
      <c r="E17" s="76"/>
      <c r="F17" s="77"/>
    </row>
    <row r="18" spans="1:6" s="6" customFormat="1" x14ac:dyDescent="0.25">
      <c r="A18" s="22" t="s">
        <v>22</v>
      </c>
      <c r="B18" s="5" t="s">
        <v>422</v>
      </c>
      <c r="C18" s="76"/>
      <c r="D18" s="179"/>
      <c r="E18" s="76">
        <f t="shared" si="0"/>
        <v>0</v>
      </c>
      <c r="F18" s="77"/>
    </row>
    <row r="19" spans="1:6" s="6" customFormat="1" x14ac:dyDescent="0.25">
      <c r="A19" s="22" t="s">
        <v>22</v>
      </c>
      <c r="B19" s="5" t="s">
        <v>423</v>
      </c>
      <c r="C19" s="76"/>
      <c r="D19" s="179"/>
      <c r="E19" s="76">
        <f t="shared" si="0"/>
        <v>0</v>
      </c>
      <c r="F19" s="77"/>
    </row>
    <row r="20" spans="1:6" ht="60" x14ac:dyDescent="0.25">
      <c r="A20" s="3">
        <v>2</v>
      </c>
      <c r="B20" s="4" t="s">
        <v>424</v>
      </c>
      <c r="C20" s="74"/>
      <c r="D20" s="82"/>
      <c r="E20" s="74">
        <f t="shared" si="0"/>
        <v>0</v>
      </c>
      <c r="F20" s="75"/>
    </row>
    <row r="21" spans="1:6" ht="15.75" x14ac:dyDescent="0.25">
      <c r="A21" s="3">
        <v>3</v>
      </c>
      <c r="B21" s="31" t="s">
        <v>1344</v>
      </c>
      <c r="C21" s="65">
        <v>2350</v>
      </c>
      <c r="D21" s="65">
        <v>2300</v>
      </c>
      <c r="E21" s="74">
        <f t="shared" si="0"/>
        <v>-50</v>
      </c>
      <c r="F21" s="75">
        <f>D21/C21*100</f>
        <v>97.872340425531917</v>
      </c>
    </row>
    <row r="22" spans="1:6" s="70" customFormat="1" ht="14.25" x14ac:dyDescent="0.25">
      <c r="A22" s="2" t="s">
        <v>70</v>
      </c>
      <c r="B22" s="14" t="s">
        <v>96</v>
      </c>
      <c r="C22" s="72">
        <v>577458</v>
      </c>
      <c r="D22" s="178">
        <v>591297</v>
      </c>
      <c r="E22" s="72">
        <f t="shared" si="0"/>
        <v>13839</v>
      </c>
      <c r="F22" s="73">
        <f>D22/C22*100</f>
        <v>102.39653793003127</v>
      </c>
    </row>
    <row r="23" spans="1:6" x14ac:dyDescent="0.25">
      <c r="A23" s="3"/>
      <c r="B23" s="5" t="s">
        <v>134</v>
      </c>
      <c r="C23" s="74"/>
      <c r="D23" s="82"/>
      <c r="E23" s="74">
        <f t="shared" si="0"/>
        <v>0</v>
      </c>
      <c r="F23" s="75"/>
    </row>
    <row r="24" spans="1:6" s="6" customFormat="1" x14ac:dyDescent="0.25">
      <c r="A24" s="22">
        <v>1</v>
      </c>
      <c r="B24" s="5" t="s">
        <v>419</v>
      </c>
      <c r="C24" s="179">
        <v>296781</v>
      </c>
      <c r="D24" s="179"/>
      <c r="E24" s="76">
        <f t="shared" si="0"/>
        <v>-296781</v>
      </c>
      <c r="F24" s="77">
        <f t="shared" ref="F24:F34" si="1">D24/C24*100</f>
        <v>0</v>
      </c>
    </row>
    <row r="25" spans="1:6" s="6" customFormat="1" x14ac:dyDescent="0.25">
      <c r="A25" s="22">
        <v>2</v>
      </c>
      <c r="B25" s="5" t="s">
        <v>420</v>
      </c>
      <c r="C25" s="179">
        <v>560</v>
      </c>
      <c r="D25" s="179"/>
      <c r="E25" s="76">
        <f t="shared" si="0"/>
        <v>-560</v>
      </c>
      <c r="F25" s="77">
        <f t="shared" si="1"/>
        <v>0</v>
      </c>
    </row>
    <row r="26" spans="1:6" ht="28.5" x14ac:dyDescent="0.25">
      <c r="A26" s="2" t="s">
        <v>73</v>
      </c>
      <c r="B26" s="14" t="s">
        <v>97</v>
      </c>
      <c r="C26" s="74"/>
      <c r="D26" s="82"/>
      <c r="E26" s="74">
        <f t="shared" si="0"/>
        <v>0</v>
      </c>
      <c r="F26" s="75"/>
    </row>
    <row r="27" spans="1:6" s="70" customFormat="1" ht="14.25" x14ac:dyDescent="0.25">
      <c r="A27" s="2" t="s">
        <v>77</v>
      </c>
      <c r="B27" s="14" t="s">
        <v>1202</v>
      </c>
      <c r="C27" s="72">
        <v>0</v>
      </c>
      <c r="D27" s="178"/>
      <c r="E27" s="72">
        <f t="shared" si="0"/>
        <v>0</v>
      </c>
      <c r="F27" s="73"/>
    </row>
    <row r="28" spans="1:6" s="70" customFormat="1" ht="14.25" x14ac:dyDescent="0.25">
      <c r="A28" s="2" t="s">
        <v>113</v>
      </c>
      <c r="B28" s="14" t="s">
        <v>247</v>
      </c>
      <c r="C28" s="72">
        <v>13116</v>
      </c>
      <c r="D28" s="178">
        <v>12875</v>
      </c>
      <c r="E28" s="72">
        <f t="shared" si="0"/>
        <v>-241</v>
      </c>
      <c r="F28" s="73">
        <f t="shared" si="1"/>
        <v>98.162549557792005</v>
      </c>
    </row>
    <row r="29" spans="1:6" s="70" customFormat="1" ht="14.25" x14ac:dyDescent="0.25">
      <c r="A29" s="2" t="s">
        <v>426</v>
      </c>
      <c r="B29" s="14" t="s">
        <v>427</v>
      </c>
      <c r="C29" s="72">
        <v>0</v>
      </c>
      <c r="D29" s="178">
        <f>'[1]12'!D26</f>
        <v>0</v>
      </c>
      <c r="E29" s="72">
        <f>D29-C29</f>
        <v>0</v>
      </c>
      <c r="F29" s="73"/>
    </row>
    <row r="30" spans="1:6" s="70" customFormat="1" ht="14.25" x14ac:dyDescent="0.25">
      <c r="A30" s="2" t="s">
        <v>16</v>
      </c>
      <c r="B30" s="14" t="s">
        <v>428</v>
      </c>
      <c r="C30" s="72">
        <f>C31+C33</f>
        <v>31013</v>
      </c>
      <c r="D30" s="178">
        <f>D31+D33</f>
        <v>35900</v>
      </c>
      <c r="E30" s="72">
        <f>E31+E33</f>
        <v>4887</v>
      </c>
      <c r="F30" s="73">
        <f t="shared" si="1"/>
        <v>115.75790797407539</v>
      </c>
    </row>
    <row r="31" spans="1:6" s="70" customFormat="1" ht="14.25" x14ac:dyDescent="0.25">
      <c r="A31" s="2" t="s">
        <v>83</v>
      </c>
      <c r="B31" s="14" t="s">
        <v>249</v>
      </c>
      <c r="C31" s="72"/>
      <c r="D31" s="178">
        <f>D32</f>
        <v>15900</v>
      </c>
      <c r="E31" s="72">
        <f>D31-C31</f>
        <v>15900</v>
      </c>
      <c r="F31" s="73"/>
    </row>
    <row r="32" spans="1:6" x14ac:dyDescent="0.25">
      <c r="A32" s="3"/>
      <c r="B32" s="4" t="s">
        <v>429</v>
      </c>
      <c r="C32" s="74"/>
      <c r="D32" s="82">
        <v>15900</v>
      </c>
      <c r="E32" s="74">
        <f>D32-C32</f>
        <v>15900</v>
      </c>
      <c r="F32" s="73"/>
    </row>
    <row r="33" spans="1:6" s="70" customFormat="1" ht="14.25" x14ac:dyDescent="0.25">
      <c r="A33" s="2" t="s">
        <v>70</v>
      </c>
      <c r="B33" s="14" t="s">
        <v>250</v>
      </c>
      <c r="C33" s="72">
        <f>C34</f>
        <v>31013</v>
      </c>
      <c r="D33" s="178">
        <f>D34</f>
        <v>20000</v>
      </c>
      <c r="E33" s="72">
        <f>D33-C33</f>
        <v>-11013</v>
      </c>
      <c r="F33" s="73">
        <f t="shared" si="1"/>
        <v>64.489085222326125</v>
      </c>
    </row>
    <row r="34" spans="1:6" x14ac:dyDescent="0.25">
      <c r="A34" s="3"/>
      <c r="B34" s="4" t="s">
        <v>430</v>
      </c>
      <c r="C34" s="74">
        <f>33363-2350</f>
        <v>31013</v>
      </c>
      <c r="D34" s="82">
        <f>38200-15900-2300</f>
        <v>20000</v>
      </c>
      <c r="E34" s="74">
        <f>D34-C34</f>
        <v>-11013</v>
      </c>
      <c r="F34" s="75">
        <f t="shared" si="1"/>
        <v>64.489085222326125</v>
      </c>
    </row>
    <row r="35" spans="1:6" x14ac:dyDescent="0.25">
      <c r="A35" s="2" t="s">
        <v>79</v>
      </c>
      <c r="B35" s="14" t="s">
        <v>431</v>
      </c>
      <c r="C35" s="74"/>
      <c r="D35" s="82"/>
      <c r="E35" s="74"/>
      <c r="F35" s="73"/>
    </row>
    <row r="36" spans="1:6" ht="42.75" customHeight="1" x14ac:dyDescent="0.25">
      <c r="A36" s="584" t="s">
        <v>432</v>
      </c>
      <c r="B36" s="584"/>
      <c r="C36" s="584"/>
      <c r="D36" s="584"/>
      <c r="E36" s="584"/>
      <c r="F36" s="584"/>
    </row>
  </sheetData>
  <mergeCells count="12">
    <mergeCell ref="E6:F6"/>
    <mergeCell ref="A36:F36"/>
    <mergeCell ref="A7:A8"/>
    <mergeCell ref="B7:B8"/>
    <mergeCell ref="C7:C8"/>
    <mergeCell ref="D7:D8"/>
    <mergeCell ref="E7:F7"/>
    <mergeCell ref="A3:F3"/>
    <mergeCell ref="A4:F4"/>
    <mergeCell ref="A1:F1"/>
    <mergeCell ref="A2:F2"/>
    <mergeCell ref="A5:F5"/>
  </mergeCells>
  <printOptions horizontalCentered="1"/>
  <pageMargins left="0.11811023622047245" right="0.11811023622047245" top="0.15748031496062992" bottom="0.15748031496062992" header="0.31496062992125984" footer="0.31496062992125984"/>
  <pageSetup paperSize="9" scale="85"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I43"/>
  <sheetViews>
    <sheetView workbookViewId="0">
      <selection activeCell="B11" sqref="B11"/>
    </sheetView>
  </sheetViews>
  <sheetFormatPr defaultColWidth="9.28515625" defaultRowHeight="15" x14ac:dyDescent="0.25"/>
  <cols>
    <col min="1" max="1" width="5.7109375" style="1" customWidth="1"/>
    <col min="2" max="2" width="45.7109375" style="1" customWidth="1"/>
    <col min="3" max="7" width="11.28515625" style="1" customWidth="1"/>
    <col min="8" max="8" width="9.28515625" style="1"/>
    <col min="9" max="9" width="9.7109375" style="1" bestFit="1" customWidth="1"/>
    <col min="10" max="16384" width="9.28515625" style="1"/>
  </cols>
  <sheetData>
    <row r="1" spans="1:9" ht="15" customHeight="1" x14ac:dyDescent="0.25">
      <c r="A1" s="559" t="s">
        <v>315</v>
      </c>
      <c r="B1" s="559"/>
      <c r="C1" s="559"/>
      <c r="D1" s="559"/>
      <c r="E1" s="559"/>
      <c r="F1" s="559"/>
      <c r="G1" s="559"/>
    </row>
    <row r="2" spans="1:9" ht="18.75" customHeight="1" x14ac:dyDescent="0.25">
      <c r="A2" s="554" t="s">
        <v>1569</v>
      </c>
      <c r="B2" s="554"/>
      <c r="C2" s="554"/>
      <c r="D2" s="554"/>
      <c r="E2" s="554"/>
      <c r="F2" s="554"/>
      <c r="G2" s="554"/>
    </row>
    <row r="3" spans="1:9" ht="18.75" hidden="1" customHeight="1" x14ac:dyDescent="0.25">
      <c r="A3" s="579" t="s">
        <v>1353</v>
      </c>
      <c r="B3" s="579"/>
      <c r="C3" s="579"/>
      <c r="D3" s="579"/>
      <c r="E3" s="579"/>
      <c r="F3" s="579"/>
      <c r="G3" s="579"/>
    </row>
    <row r="4" spans="1:9" ht="18.75" hidden="1" customHeight="1" x14ac:dyDescent="0.25">
      <c r="A4" s="579" t="s">
        <v>1335</v>
      </c>
      <c r="B4" s="579"/>
      <c r="C4" s="579"/>
      <c r="D4" s="579"/>
      <c r="E4" s="579"/>
      <c r="F4" s="579"/>
      <c r="G4" s="579"/>
    </row>
    <row r="5" spans="1:9" ht="15" customHeight="1" x14ac:dyDescent="0.25">
      <c r="A5" s="579" t="s">
        <v>1565</v>
      </c>
      <c r="B5" s="579"/>
      <c r="C5" s="579"/>
      <c r="D5" s="579"/>
      <c r="E5" s="579"/>
      <c r="F5" s="579"/>
      <c r="G5" s="579"/>
    </row>
    <row r="6" spans="1:9" ht="15" customHeight="1" x14ac:dyDescent="0.25">
      <c r="F6" s="561" t="s">
        <v>56</v>
      </c>
      <c r="G6" s="561"/>
    </row>
    <row r="7" spans="1:9" ht="15" customHeight="1" x14ac:dyDescent="0.25">
      <c r="A7" s="558" t="s">
        <v>3</v>
      </c>
      <c r="B7" s="558" t="s">
        <v>265</v>
      </c>
      <c r="C7" s="558" t="s">
        <v>1566</v>
      </c>
      <c r="D7" s="569" t="s">
        <v>1570</v>
      </c>
      <c r="E7" s="569" t="s">
        <v>1571</v>
      </c>
      <c r="F7" s="558" t="s">
        <v>434</v>
      </c>
      <c r="G7" s="558"/>
    </row>
    <row r="8" spans="1:9" ht="51.75" customHeight="1" x14ac:dyDescent="0.25">
      <c r="A8" s="558"/>
      <c r="B8" s="558"/>
      <c r="C8" s="558"/>
      <c r="D8" s="569"/>
      <c r="E8" s="569"/>
      <c r="F8" s="2" t="s">
        <v>233</v>
      </c>
      <c r="G8" s="2" t="s">
        <v>435</v>
      </c>
    </row>
    <row r="9" spans="1:9" x14ac:dyDescent="0.25">
      <c r="A9" s="2" t="s">
        <v>15</v>
      </c>
      <c r="B9" s="2" t="s">
        <v>16</v>
      </c>
      <c r="C9" s="2">
        <v>1</v>
      </c>
      <c r="D9" s="17">
        <v>2</v>
      </c>
      <c r="E9" s="17">
        <v>3</v>
      </c>
      <c r="F9" s="2" t="s">
        <v>1354</v>
      </c>
      <c r="G9" s="2" t="s">
        <v>1355</v>
      </c>
    </row>
    <row r="10" spans="1:9" x14ac:dyDescent="0.25">
      <c r="A10" s="2" t="s">
        <v>15</v>
      </c>
      <c r="B10" s="14" t="s">
        <v>436</v>
      </c>
      <c r="C10" s="68">
        <f>C11+C14+C17+C18+C19</f>
        <v>683948</v>
      </c>
      <c r="D10" s="180">
        <f>D11+D14+D17+D18+D19</f>
        <v>1113575</v>
      </c>
      <c r="E10" s="180">
        <f>E11+E14+E17+E18+E19</f>
        <v>761505</v>
      </c>
      <c r="F10" s="78">
        <f>E10-D10</f>
        <v>-352070</v>
      </c>
      <c r="G10" s="73">
        <f>E10/D10*100</f>
        <v>68.38380890375592</v>
      </c>
      <c r="I10" s="80"/>
    </row>
    <row r="11" spans="1:9" x14ac:dyDescent="0.25">
      <c r="A11" s="2" t="s">
        <v>83</v>
      </c>
      <c r="B11" s="14" t="s">
        <v>238</v>
      </c>
      <c r="C11" s="68">
        <f>C12+C13</f>
        <v>113550</v>
      </c>
      <c r="D11" s="180">
        <f>D12+D13</f>
        <v>137725</v>
      </c>
      <c r="E11" s="180">
        <f>E12+E13</f>
        <v>114010</v>
      </c>
      <c r="F11" s="78">
        <f>E11-D11</f>
        <v>-23715</v>
      </c>
      <c r="G11" s="73">
        <f>E11/D11*100</f>
        <v>82.780903975313123</v>
      </c>
      <c r="I11" s="80"/>
    </row>
    <row r="12" spans="1:9" x14ac:dyDescent="0.25">
      <c r="A12" s="3" t="s">
        <v>22</v>
      </c>
      <c r="B12" s="4" t="s">
        <v>362</v>
      </c>
      <c r="C12" s="181">
        <v>113550</v>
      </c>
      <c r="D12" s="82">
        <f>122996+9967+4611-D13+151</f>
        <v>137725</v>
      </c>
      <c r="E12" s="187">
        <f>108310+2700+3000</f>
        <v>114010</v>
      </c>
      <c r="F12" s="79">
        <f>E12-D12</f>
        <v>-23715</v>
      </c>
      <c r="G12" s="75">
        <f>E12/D12*100</f>
        <v>82.780903975313123</v>
      </c>
    </row>
    <row r="13" spans="1:9" x14ac:dyDescent="0.25">
      <c r="A13" s="3" t="s">
        <v>22</v>
      </c>
      <c r="B13" s="4" t="s">
        <v>363</v>
      </c>
      <c r="C13" s="181">
        <v>0</v>
      </c>
      <c r="D13" s="82">
        <v>0</v>
      </c>
      <c r="E13" s="187">
        <v>0</v>
      </c>
      <c r="F13" s="79">
        <f>E13-D13</f>
        <v>0</v>
      </c>
      <c r="G13" s="75"/>
    </row>
    <row r="14" spans="1:9" x14ac:dyDescent="0.25">
      <c r="A14" s="2" t="s">
        <v>70</v>
      </c>
      <c r="B14" s="14" t="s">
        <v>302</v>
      </c>
      <c r="C14" s="68">
        <f>SUM(C15:C16)</f>
        <v>570398</v>
      </c>
      <c r="D14" s="180">
        <f>SUM(D15:D16)</f>
        <v>748493</v>
      </c>
      <c r="E14" s="180">
        <f>SUM(E15:E16)</f>
        <v>647495</v>
      </c>
      <c r="F14" s="78">
        <f t="shared" ref="F14:F30" si="0">E14-D14</f>
        <v>-100998</v>
      </c>
      <c r="G14" s="73">
        <f t="shared" ref="G14:G25" si="1">E14/D14*100</f>
        <v>86.506487034614892</v>
      </c>
    </row>
    <row r="15" spans="1:9" x14ac:dyDescent="0.25">
      <c r="A15" s="3">
        <v>1</v>
      </c>
      <c r="B15" s="4" t="s">
        <v>240</v>
      </c>
      <c r="C15" s="181">
        <v>532198</v>
      </c>
      <c r="D15" s="82">
        <v>591125</v>
      </c>
      <c r="E15" s="187">
        <f>557679+67835</f>
        <v>625514</v>
      </c>
      <c r="F15" s="79">
        <f t="shared" si="0"/>
        <v>34389</v>
      </c>
      <c r="G15" s="75">
        <f t="shared" si="1"/>
        <v>105.81755127934025</v>
      </c>
    </row>
    <row r="16" spans="1:9" x14ac:dyDescent="0.25">
      <c r="A16" s="3">
        <v>2</v>
      </c>
      <c r="B16" s="4" t="s">
        <v>88</v>
      </c>
      <c r="C16" s="181">
        <v>38200</v>
      </c>
      <c r="D16" s="82">
        <v>157368</v>
      </c>
      <c r="E16" s="181">
        <v>21981</v>
      </c>
      <c r="F16" s="79">
        <f t="shared" si="0"/>
        <v>-135387</v>
      </c>
      <c r="G16" s="75">
        <f t="shared" si="1"/>
        <v>13.967896904071983</v>
      </c>
    </row>
    <row r="17" spans="1:9" s="70" customFormat="1" ht="14.25" x14ac:dyDescent="0.25">
      <c r="A17" s="2" t="s">
        <v>73</v>
      </c>
      <c r="B17" s="14" t="s">
        <v>1301</v>
      </c>
      <c r="C17" s="68"/>
      <c r="D17" s="221">
        <v>876</v>
      </c>
      <c r="E17" s="180"/>
      <c r="F17" s="78">
        <f t="shared" si="0"/>
        <v>-876</v>
      </c>
      <c r="G17" s="73"/>
    </row>
    <row r="18" spans="1:9" s="70" customFormat="1" ht="14.25" x14ac:dyDescent="0.25">
      <c r="A18" s="2" t="s">
        <v>77</v>
      </c>
      <c r="B18" s="14" t="s">
        <v>303</v>
      </c>
      <c r="C18" s="68"/>
      <c r="D18" s="178">
        <v>4710</v>
      </c>
      <c r="E18" s="180"/>
      <c r="F18" s="78">
        <f t="shared" si="0"/>
        <v>-4710</v>
      </c>
      <c r="G18" s="73">
        <f t="shared" si="1"/>
        <v>0</v>
      </c>
    </row>
    <row r="19" spans="1:9" s="70" customFormat="1" ht="14.25" x14ac:dyDescent="0.25">
      <c r="A19" s="2" t="s">
        <v>113</v>
      </c>
      <c r="B19" s="14" t="s">
        <v>437</v>
      </c>
      <c r="C19" s="68"/>
      <c r="D19" s="178">
        <v>221771</v>
      </c>
      <c r="E19" s="180"/>
      <c r="F19" s="78">
        <f t="shared" si="0"/>
        <v>-221771</v>
      </c>
      <c r="G19" s="73">
        <f t="shared" si="1"/>
        <v>0</v>
      </c>
    </row>
    <row r="20" spans="1:9" x14ac:dyDescent="0.25">
      <c r="A20" s="2" t="s">
        <v>16</v>
      </c>
      <c r="B20" s="14" t="s">
        <v>449</v>
      </c>
      <c r="C20" s="68">
        <f>C21+C28+C31+C32</f>
        <v>681948</v>
      </c>
      <c r="D20" s="180">
        <f>D21+D28+D31+D32</f>
        <v>1009922.5</v>
      </c>
      <c r="E20" s="180">
        <f>E21+E28+E31+E32</f>
        <v>758105</v>
      </c>
      <c r="F20" s="78">
        <f t="shared" si="0"/>
        <v>-251817.5</v>
      </c>
      <c r="G20" s="73">
        <f t="shared" si="1"/>
        <v>75.065660978936506</v>
      </c>
      <c r="I20" s="80"/>
    </row>
    <row r="21" spans="1:9" x14ac:dyDescent="0.25">
      <c r="A21" s="2" t="s">
        <v>83</v>
      </c>
      <c r="B21" s="14" t="s">
        <v>366</v>
      </c>
      <c r="C21" s="68">
        <f>SUM(C22:C27)</f>
        <v>643748</v>
      </c>
      <c r="D21" s="180">
        <f>SUM(D22:D27)</f>
        <v>1009333.5</v>
      </c>
      <c r="E21" s="180">
        <f>SUM(E22:E27)</f>
        <v>611038</v>
      </c>
      <c r="F21" s="78">
        <f t="shared" si="0"/>
        <v>-398295.5</v>
      </c>
      <c r="G21" s="73">
        <f t="shared" si="1"/>
        <v>60.538761469821424</v>
      </c>
    </row>
    <row r="22" spans="1:9" x14ac:dyDescent="0.25">
      <c r="A22" s="3">
        <v>1</v>
      </c>
      <c r="B22" s="4" t="s">
        <v>1336</v>
      </c>
      <c r="C22" s="187">
        <v>39576</v>
      </c>
      <c r="D22" s="82">
        <v>160869</v>
      </c>
      <c r="E22" s="181">
        <f>65942-E29</f>
        <v>52703</v>
      </c>
      <c r="F22" s="79">
        <f t="shared" si="0"/>
        <v>-108166</v>
      </c>
      <c r="G22" s="75">
        <f t="shared" si="1"/>
        <v>32.761439432084494</v>
      </c>
    </row>
    <row r="23" spans="1:9" x14ac:dyDescent="0.25">
      <c r="A23" s="3">
        <v>2</v>
      </c>
      <c r="B23" s="4" t="s">
        <v>96</v>
      </c>
      <c r="C23" s="187">
        <v>591297</v>
      </c>
      <c r="D23" s="82">
        <f>599489+144138.3</f>
        <v>743627.3</v>
      </c>
      <c r="E23" s="181">
        <f>434311+99126</f>
        <v>533437</v>
      </c>
      <c r="F23" s="79">
        <f t="shared" si="0"/>
        <v>-210190.30000000005</v>
      </c>
      <c r="G23" s="75">
        <f t="shared" si="1"/>
        <v>71.734456225585035</v>
      </c>
    </row>
    <row r="24" spans="1:9" x14ac:dyDescent="0.25">
      <c r="A24" s="3">
        <v>3</v>
      </c>
      <c r="B24" s="4" t="s">
        <v>1202</v>
      </c>
      <c r="C24" s="187">
        <v>0</v>
      </c>
      <c r="D24" s="20"/>
      <c r="E24" s="181">
        <v>3800</v>
      </c>
      <c r="F24" s="79">
        <f t="shared" si="0"/>
        <v>3800</v>
      </c>
      <c r="G24" s="75"/>
    </row>
    <row r="25" spans="1:9" x14ac:dyDescent="0.25">
      <c r="A25" s="3">
        <v>4</v>
      </c>
      <c r="B25" s="4" t="s">
        <v>1026</v>
      </c>
      <c r="C25" s="187"/>
      <c r="D25" s="82">
        <v>104837.2</v>
      </c>
      <c r="E25" s="181"/>
      <c r="F25" s="79">
        <f t="shared" si="0"/>
        <v>-104837.2</v>
      </c>
      <c r="G25" s="75">
        <f t="shared" si="1"/>
        <v>0</v>
      </c>
    </row>
    <row r="26" spans="1:9" x14ac:dyDescent="0.25">
      <c r="A26" s="3">
        <v>5</v>
      </c>
      <c r="B26" s="4" t="s">
        <v>247</v>
      </c>
      <c r="C26" s="187">
        <v>12875</v>
      </c>
      <c r="D26" s="20"/>
      <c r="E26" s="181">
        <f>11777+2028</f>
        <v>13805</v>
      </c>
      <c r="F26" s="79">
        <f>E26-D26</f>
        <v>13805</v>
      </c>
      <c r="G26" s="75"/>
    </row>
    <row r="27" spans="1:9" x14ac:dyDescent="0.25">
      <c r="A27" s="3">
        <v>6</v>
      </c>
      <c r="B27" s="4" t="s">
        <v>98</v>
      </c>
      <c r="C27" s="187">
        <v>0</v>
      </c>
      <c r="D27" s="20"/>
      <c r="E27" s="181">
        <f>5038+2255</f>
        <v>7293</v>
      </c>
      <c r="F27" s="79">
        <f t="shared" si="0"/>
        <v>7293</v>
      </c>
      <c r="G27" s="75"/>
    </row>
    <row r="28" spans="1:9" x14ac:dyDescent="0.25">
      <c r="A28" s="2" t="s">
        <v>70</v>
      </c>
      <c r="B28" s="14" t="s">
        <v>440</v>
      </c>
      <c r="C28" s="68">
        <f>SUM(C29:C30)</f>
        <v>38200</v>
      </c>
      <c r="D28" s="20"/>
      <c r="E28" s="180">
        <f>SUM(E29:E30)</f>
        <v>147067</v>
      </c>
      <c r="F28" s="78">
        <f t="shared" si="0"/>
        <v>147067</v>
      </c>
      <c r="G28" s="75"/>
    </row>
    <row r="29" spans="1:9" x14ac:dyDescent="0.25">
      <c r="A29" s="3">
        <v>1</v>
      </c>
      <c r="B29" s="4" t="s">
        <v>249</v>
      </c>
      <c r="C29" s="187">
        <v>15900</v>
      </c>
      <c r="D29" s="20"/>
      <c r="E29" s="181">
        <v>13239</v>
      </c>
      <c r="F29" s="79">
        <f t="shared" si="0"/>
        <v>13239</v>
      </c>
      <c r="G29" s="75"/>
    </row>
    <row r="30" spans="1:9" x14ac:dyDescent="0.25">
      <c r="A30" s="3">
        <v>2</v>
      </c>
      <c r="B30" s="4" t="s">
        <v>250</v>
      </c>
      <c r="C30" s="187">
        <f>38200-15900</f>
        <v>22300</v>
      </c>
      <c r="D30" s="20"/>
      <c r="E30" s="181">
        <f>133828</f>
        <v>133828</v>
      </c>
      <c r="F30" s="79">
        <f t="shared" si="0"/>
        <v>133828</v>
      </c>
      <c r="G30" s="75"/>
    </row>
    <row r="31" spans="1:9" x14ac:dyDescent="0.25">
      <c r="A31" s="2" t="s">
        <v>73</v>
      </c>
      <c r="B31" s="14" t="s">
        <v>441</v>
      </c>
      <c r="C31" s="4"/>
      <c r="D31" s="20"/>
      <c r="E31" s="20"/>
      <c r="F31" s="4"/>
      <c r="G31" s="4"/>
    </row>
    <row r="32" spans="1:9" s="70" customFormat="1" ht="14.25" x14ac:dyDescent="0.25">
      <c r="A32" s="2" t="s">
        <v>77</v>
      </c>
      <c r="B32" s="14" t="s">
        <v>1302</v>
      </c>
      <c r="C32" s="14"/>
      <c r="D32" s="182">
        <v>589</v>
      </c>
      <c r="E32" s="19"/>
      <c r="F32" s="14"/>
      <c r="G32" s="14"/>
    </row>
    <row r="33" spans="1:7" x14ac:dyDescent="0.25">
      <c r="A33" s="2" t="s">
        <v>79</v>
      </c>
      <c r="B33" s="14" t="s">
        <v>442</v>
      </c>
      <c r="C33" s="4"/>
      <c r="D33" s="20"/>
      <c r="E33" s="20"/>
      <c r="F33" s="4"/>
      <c r="G33" s="4"/>
    </row>
    <row r="34" spans="1:7" x14ac:dyDescent="0.25">
      <c r="A34" s="2" t="s">
        <v>89</v>
      </c>
      <c r="B34" s="14" t="s">
        <v>443</v>
      </c>
      <c r="C34" s="4"/>
      <c r="D34" s="20"/>
      <c r="E34" s="20"/>
      <c r="F34" s="4"/>
      <c r="G34" s="4"/>
    </row>
    <row r="35" spans="1:7" x14ac:dyDescent="0.25">
      <c r="A35" s="2" t="s">
        <v>83</v>
      </c>
      <c r="B35" s="14" t="s">
        <v>108</v>
      </c>
      <c r="C35" s="4"/>
      <c r="D35" s="20"/>
      <c r="E35" s="20"/>
      <c r="F35" s="4"/>
      <c r="G35" s="4"/>
    </row>
    <row r="36" spans="1:7" ht="28.5" x14ac:dyDescent="0.25">
      <c r="A36" s="2" t="s">
        <v>70</v>
      </c>
      <c r="B36" s="14" t="s">
        <v>444</v>
      </c>
      <c r="C36" s="4"/>
      <c r="D36" s="20"/>
      <c r="E36" s="20"/>
      <c r="F36" s="4"/>
      <c r="G36" s="4"/>
    </row>
    <row r="37" spans="1:7" x14ac:dyDescent="0.25">
      <c r="A37" s="2" t="s">
        <v>99</v>
      </c>
      <c r="B37" s="14" t="s">
        <v>445</v>
      </c>
      <c r="C37" s="4"/>
      <c r="D37" s="20"/>
      <c r="E37" s="20"/>
      <c r="F37" s="4"/>
      <c r="G37" s="4"/>
    </row>
    <row r="38" spans="1:7" x14ac:dyDescent="0.25">
      <c r="A38" s="2" t="s">
        <v>83</v>
      </c>
      <c r="B38" s="14" t="s">
        <v>259</v>
      </c>
      <c r="C38" s="4"/>
      <c r="D38" s="20"/>
      <c r="E38" s="20"/>
      <c r="F38" s="4"/>
      <c r="G38" s="4"/>
    </row>
    <row r="39" spans="1:7" x14ac:dyDescent="0.25">
      <c r="A39" s="2" t="s">
        <v>70</v>
      </c>
      <c r="B39" s="14" t="s">
        <v>446</v>
      </c>
      <c r="C39" s="4"/>
      <c r="D39" s="20"/>
      <c r="E39" s="20"/>
      <c r="F39" s="4"/>
      <c r="G39" s="4"/>
    </row>
    <row r="40" spans="1:7" ht="48.75" customHeight="1" x14ac:dyDescent="0.25">
      <c r="A40" s="15" t="s">
        <v>118</v>
      </c>
    </row>
    <row r="41" spans="1:7" ht="48.75" customHeight="1" x14ac:dyDescent="0.25">
      <c r="A41" s="562" t="s">
        <v>119</v>
      </c>
      <c r="B41" s="562"/>
      <c r="C41" s="562"/>
      <c r="D41" s="562"/>
      <c r="E41" s="562"/>
      <c r="F41" s="562"/>
      <c r="G41" s="562"/>
    </row>
    <row r="42" spans="1:7" ht="42" customHeight="1" x14ac:dyDescent="0.25">
      <c r="A42" s="562" t="s">
        <v>447</v>
      </c>
      <c r="B42" s="562"/>
      <c r="C42" s="562"/>
      <c r="D42" s="562"/>
      <c r="E42" s="562"/>
      <c r="F42" s="562"/>
      <c r="G42" s="562"/>
    </row>
    <row r="43" spans="1:7" ht="15" customHeight="1" x14ac:dyDescent="0.25">
      <c r="A43" s="562" t="s">
        <v>448</v>
      </c>
      <c r="B43" s="562"/>
      <c r="C43" s="562"/>
      <c r="D43" s="562"/>
      <c r="E43" s="562"/>
      <c r="F43" s="562"/>
      <c r="G43" s="562"/>
    </row>
  </sheetData>
  <mergeCells count="15">
    <mergeCell ref="A43:G43"/>
    <mergeCell ref="A42:G42"/>
    <mergeCell ref="A1:G1"/>
    <mergeCell ref="A2:G2"/>
    <mergeCell ref="A5:G5"/>
    <mergeCell ref="F6:G6"/>
    <mergeCell ref="A41:G41"/>
    <mergeCell ref="A7:A8"/>
    <mergeCell ref="B7:B8"/>
    <mergeCell ref="C7:C8"/>
    <mergeCell ref="D7:D8"/>
    <mergeCell ref="E7:E8"/>
    <mergeCell ref="F7:G7"/>
    <mergeCell ref="A3:G3"/>
    <mergeCell ref="A4:G4"/>
  </mergeCells>
  <printOptions horizontalCentered="1"/>
  <pageMargins left="0.11811023622047245" right="0.11811023622047245" top="0.15748031496062992" bottom="0.15748031496062992" header="0.31496062992125984" footer="0.31496062992125984"/>
  <pageSetup paperSize="9" scale="85"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J56"/>
  <sheetViews>
    <sheetView workbookViewId="0">
      <selection activeCell="B11" sqref="B11"/>
    </sheetView>
  </sheetViews>
  <sheetFormatPr defaultColWidth="9.28515625" defaultRowHeight="15" x14ac:dyDescent="0.25"/>
  <cols>
    <col min="1" max="1" width="5.5703125" style="1" customWidth="1"/>
    <col min="2" max="2" width="54.28515625" style="1" customWidth="1"/>
    <col min="3" max="3" width="10.5703125" style="1" customWidth="1"/>
    <col min="4" max="4" width="9.7109375" style="1" customWidth="1"/>
    <col min="5" max="5" width="10.5703125" style="1" customWidth="1"/>
    <col min="6" max="6" width="9.28515625" style="1" customWidth="1"/>
    <col min="7" max="7" width="8.5703125" style="1" customWidth="1"/>
    <col min="8" max="8" width="8.7109375" style="1" customWidth="1"/>
    <col min="9" max="16384" width="9.28515625" style="1"/>
  </cols>
  <sheetData>
    <row r="1" spans="1:10" x14ac:dyDescent="0.25">
      <c r="A1" s="559" t="s">
        <v>328</v>
      </c>
      <c r="B1" s="559"/>
      <c r="C1" s="559"/>
      <c r="D1" s="559"/>
      <c r="E1" s="559"/>
      <c r="F1" s="559"/>
      <c r="G1" s="559"/>
      <c r="H1" s="559"/>
    </row>
    <row r="2" spans="1:10" ht="18.75" x14ac:dyDescent="0.25">
      <c r="A2" s="554" t="s">
        <v>1572</v>
      </c>
      <c r="B2" s="554"/>
      <c r="C2" s="554"/>
      <c r="D2" s="554"/>
      <c r="E2" s="554"/>
      <c r="F2" s="554"/>
      <c r="G2" s="554"/>
      <c r="H2" s="554"/>
    </row>
    <row r="3" spans="1:10" ht="15.75" hidden="1" customHeight="1" x14ac:dyDescent="0.25">
      <c r="A3" s="579" t="s">
        <v>1352</v>
      </c>
      <c r="B3" s="579"/>
      <c r="C3" s="579"/>
      <c r="D3" s="579"/>
      <c r="E3" s="579"/>
      <c r="F3" s="579"/>
      <c r="G3" s="579"/>
      <c r="H3" s="579"/>
    </row>
    <row r="4" spans="1:10" ht="15" customHeight="1" x14ac:dyDescent="0.25">
      <c r="A4" s="579" t="s">
        <v>1565</v>
      </c>
      <c r="B4" s="579"/>
      <c r="C4" s="579"/>
      <c r="D4" s="579"/>
      <c r="E4" s="579"/>
      <c r="F4" s="579"/>
      <c r="G4" s="579"/>
      <c r="H4" s="579"/>
    </row>
    <row r="5" spans="1:10" x14ac:dyDescent="0.25">
      <c r="G5" s="561" t="s">
        <v>56</v>
      </c>
      <c r="H5" s="561"/>
    </row>
    <row r="6" spans="1:10" ht="32.25" customHeight="1" x14ac:dyDescent="0.25">
      <c r="A6" s="558" t="s">
        <v>3</v>
      </c>
      <c r="B6" s="558" t="s">
        <v>4</v>
      </c>
      <c r="C6" s="558" t="s">
        <v>1570</v>
      </c>
      <c r="D6" s="558"/>
      <c r="E6" s="558" t="s">
        <v>1571</v>
      </c>
      <c r="F6" s="558"/>
      <c r="G6" s="558" t="s">
        <v>374</v>
      </c>
      <c r="H6" s="558"/>
    </row>
    <row r="7" spans="1:10" ht="42.75" x14ac:dyDescent="0.25">
      <c r="A7" s="558"/>
      <c r="B7" s="558"/>
      <c r="C7" s="2" t="s">
        <v>375</v>
      </c>
      <c r="D7" s="2" t="s">
        <v>376</v>
      </c>
      <c r="E7" s="2" t="s">
        <v>375</v>
      </c>
      <c r="F7" s="2" t="s">
        <v>376</v>
      </c>
      <c r="G7" s="2" t="s">
        <v>451</v>
      </c>
      <c r="H7" s="2" t="s">
        <v>452</v>
      </c>
    </row>
    <row r="8" spans="1:10" x14ac:dyDescent="0.25">
      <c r="A8" s="2" t="s">
        <v>15</v>
      </c>
      <c r="B8" s="2" t="s">
        <v>16</v>
      </c>
      <c r="C8" s="2">
        <v>1</v>
      </c>
      <c r="D8" s="2">
        <v>2</v>
      </c>
      <c r="E8" s="2">
        <v>3</v>
      </c>
      <c r="F8" s="2">
        <v>4</v>
      </c>
      <c r="G8" s="2" t="s">
        <v>377</v>
      </c>
      <c r="H8" s="2" t="s">
        <v>378</v>
      </c>
    </row>
    <row r="9" spans="1:10" s="70" customFormat="1" ht="14.25" x14ac:dyDescent="0.25">
      <c r="A9" s="2"/>
      <c r="B9" s="14" t="s">
        <v>379</v>
      </c>
      <c r="C9" s="81">
        <f>C10+C42+C43+C50</f>
        <v>137725</v>
      </c>
      <c r="D9" s="81">
        <f>D10+D42+D43+D50</f>
        <v>137546.6</v>
      </c>
      <c r="E9" s="81">
        <f>E10+E42+E43+E50</f>
        <v>114010</v>
      </c>
      <c r="F9" s="81">
        <f>F10+F42+F43+F50</f>
        <v>110610</v>
      </c>
      <c r="G9" s="69">
        <f>E9/C9*100</f>
        <v>82.780903975313123</v>
      </c>
      <c r="H9" s="69">
        <f>F9/D9*100</f>
        <v>80.416382520542129</v>
      </c>
      <c r="I9" s="71"/>
    </row>
    <row r="10" spans="1:10" s="70" customFormat="1" ht="14.25" x14ac:dyDescent="0.25">
      <c r="A10" s="2" t="s">
        <v>83</v>
      </c>
      <c r="B10" s="14" t="s">
        <v>65</v>
      </c>
      <c r="C10" s="81">
        <f>C11+C13+C15+C17+C19+C20+C23+C24+C29+C30+C31+C32+C33+C34+C36+C37+C38+C39+C40+C41</f>
        <v>137725</v>
      </c>
      <c r="D10" s="81">
        <f>D11+D13+D15+D17+D19+D20+D23+D24+D29+D30+D31+D32+D33+D34+D36+D37+D38+D39+D40+D41-0.4</f>
        <v>137546.6</v>
      </c>
      <c r="E10" s="81">
        <f>E11+E13+E15+E17+E19+E20+E23+E24+E29+E30+E31+E32+E33+E34+E36+E37+E38+E39+E40+E41</f>
        <v>114010</v>
      </c>
      <c r="F10" s="81">
        <f>F11+F13+F15+F17+F19+F20+F23+F24+F29+F30+F31+F32+F33+F34+F36+F37+F38+F39+F40+F41</f>
        <v>110610</v>
      </c>
      <c r="G10" s="69">
        <f>E10/C10*100</f>
        <v>82.780903975313123</v>
      </c>
      <c r="H10" s="69">
        <f>F10/D10*100</f>
        <v>80.416382520542129</v>
      </c>
      <c r="J10" s="71"/>
    </row>
    <row r="11" spans="1:10" x14ac:dyDescent="0.25">
      <c r="A11" s="3">
        <v>1</v>
      </c>
      <c r="B11" s="4" t="s">
        <v>453</v>
      </c>
      <c r="C11" s="3"/>
      <c r="D11" s="3"/>
      <c r="E11" s="3"/>
      <c r="F11" s="3"/>
      <c r="G11" s="188"/>
      <c r="H11" s="69"/>
    </row>
    <row r="12" spans="1:10" x14ac:dyDescent="0.25">
      <c r="A12" s="3"/>
      <c r="B12" s="4" t="s">
        <v>384</v>
      </c>
      <c r="C12" s="3"/>
      <c r="D12" s="3"/>
      <c r="E12" s="3"/>
      <c r="F12" s="3"/>
      <c r="G12" s="188"/>
      <c r="H12" s="69"/>
    </row>
    <row r="13" spans="1:10" x14ac:dyDescent="0.25">
      <c r="A13" s="3">
        <v>2</v>
      </c>
      <c r="B13" s="4" t="s">
        <v>454</v>
      </c>
      <c r="C13" s="3"/>
      <c r="D13" s="3"/>
      <c r="E13" s="3"/>
      <c r="F13" s="3"/>
      <c r="G13" s="188"/>
      <c r="H13" s="69"/>
    </row>
    <row r="14" spans="1:10" x14ac:dyDescent="0.25">
      <c r="A14" s="3"/>
      <c r="B14" s="4" t="s">
        <v>381</v>
      </c>
      <c r="C14" s="3"/>
      <c r="D14" s="3"/>
      <c r="E14" s="3"/>
      <c r="F14" s="3"/>
      <c r="G14" s="188"/>
      <c r="H14" s="69"/>
    </row>
    <row r="15" spans="1:10" x14ac:dyDescent="0.25">
      <c r="A15" s="3">
        <v>3</v>
      </c>
      <c r="B15" s="4" t="s">
        <v>277</v>
      </c>
      <c r="C15" s="3"/>
      <c r="D15" s="3"/>
      <c r="E15" s="3"/>
      <c r="F15" s="3"/>
      <c r="G15" s="188"/>
      <c r="H15" s="69"/>
    </row>
    <row r="16" spans="1:10" x14ac:dyDescent="0.25">
      <c r="A16" s="3"/>
      <c r="B16" s="4" t="s">
        <v>381</v>
      </c>
      <c r="C16" s="3"/>
      <c r="D16" s="3"/>
      <c r="E16" s="3"/>
      <c r="F16" s="3"/>
      <c r="G16" s="188"/>
      <c r="H16" s="69"/>
    </row>
    <row r="17" spans="1:8" x14ac:dyDescent="0.25">
      <c r="A17" s="3">
        <v>4</v>
      </c>
      <c r="B17" s="4" t="s">
        <v>278</v>
      </c>
      <c r="C17" s="187">
        <v>51600</v>
      </c>
      <c r="D17" s="187">
        <f>C17</f>
        <v>51600</v>
      </c>
      <c r="E17" s="187">
        <v>49900</v>
      </c>
      <c r="F17" s="187">
        <f>E17</f>
        <v>49900</v>
      </c>
      <c r="G17" s="188">
        <f>E17/C17*100</f>
        <v>96.705426356589157</v>
      </c>
      <c r="H17" s="188">
        <f>F17/D17*100</f>
        <v>96.705426356589157</v>
      </c>
    </row>
    <row r="18" spans="1:8" x14ac:dyDescent="0.25">
      <c r="A18" s="3"/>
      <c r="B18" s="4" t="s">
        <v>381</v>
      </c>
      <c r="C18" s="187"/>
      <c r="D18" s="187"/>
      <c r="E18" s="3"/>
      <c r="F18" s="3"/>
      <c r="G18" s="188"/>
      <c r="H18" s="188"/>
    </row>
    <row r="19" spans="1:8" x14ac:dyDescent="0.25">
      <c r="A19" s="3">
        <v>5</v>
      </c>
      <c r="B19" s="4" t="s">
        <v>279</v>
      </c>
      <c r="C19" s="187">
        <v>24000</v>
      </c>
      <c r="D19" s="187">
        <f>C19</f>
        <v>24000</v>
      </c>
      <c r="E19" s="187">
        <v>25610</v>
      </c>
      <c r="F19" s="187">
        <f>E19</f>
        <v>25610</v>
      </c>
      <c r="G19" s="188">
        <f>E19/C19*100</f>
        <v>106.70833333333334</v>
      </c>
      <c r="H19" s="188">
        <f>F19/D19*100</f>
        <v>106.70833333333334</v>
      </c>
    </row>
    <row r="20" spans="1:8" x14ac:dyDescent="0.25">
      <c r="A20" s="3">
        <v>6</v>
      </c>
      <c r="B20" s="4" t="s">
        <v>455</v>
      </c>
      <c r="C20" s="187"/>
      <c r="D20" s="187"/>
      <c r="E20" s="187"/>
      <c r="F20" s="187"/>
      <c r="G20" s="188"/>
      <c r="H20" s="188"/>
    </row>
    <row r="21" spans="1:8" ht="30" x14ac:dyDescent="0.25">
      <c r="A21" s="3" t="s">
        <v>22</v>
      </c>
      <c r="B21" s="5" t="s">
        <v>456</v>
      </c>
      <c r="C21" s="187"/>
      <c r="D21" s="187"/>
      <c r="E21" s="187"/>
      <c r="F21" s="187"/>
      <c r="G21" s="188"/>
      <c r="H21" s="188"/>
    </row>
    <row r="22" spans="1:8" x14ac:dyDescent="0.25">
      <c r="A22" s="3" t="s">
        <v>22</v>
      </c>
      <c r="B22" s="5" t="s">
        <v>408</v>
      </c>
      <c r="C22" s="187"/>
      <c r="D22" s="187"/>
      <c r="E22" s="187"/>
      <c r="F22" s="187"/>
      <c r="G22" s="188"/>
      <c r="H22" s="188"/>
    </row>
    <row r="23" spans="1:8" x14ac:dyDescent="0.25">
      <c r="A23" s="3">
        <v>7</v>
      </c>
      <c r="B23" s="4" t="s">
        <v>457</v>
      </c>
      <c r="C23" s="187">
        <v>24800</v>
      </c>
      <c r="D23" s="187">
        <f>C23</f>
        <v>24800</v>
      </c>
      <c r="E23" s="187">
        <v>24000</v>
      </c>
      <c r="F23" s="187">
        <f>E23</f>
        <v>24000</v>
      </c>
      <c r="G23" s="188">
        <f>E23/C23*100</f>
        <v>96.774193548387103</v>
      </c>
      <c r="H23" s="188">
        <f>F23/D23*100</f>
        <v>96.774193548387103</v>
      </c>
    </row>
    <row r="24" spans="1:8" x14ac:dyDescent="0.25">
      <c r="A24" s="3">
        <v>8</v>
      </c>
      <c r="B24" s="4" t="s">
        <v>389</v>
      </c>
      <c r="C24" s="187">
        <v>5500</v>
      </c>
      <c r="D24" s="187">
        <f>C24</f>
        <v>5500</v>
      </c>
      <c r="E24" s="187">
        <v>5300</v>
      </c>
      <c r="F24" s="187">
        <f>E24</f>
        <v>5300</v>
      </c>
      <c r="G24" s="188">
        <f>E24/C24*100</f>
        <v>96.36363636363636</v>
      </c>
      <c r="H24" s="188">
        <f>F24/D24*100</f>
        <v>96.36363636363636</v>
      </c>
    </row>
    <row r="25" spans="1:8" x14ac:dyDescent="0.25">
      <c r="A25" s="3" t="s">
        <v>22</v>
      </c>
      <c r="B25" s="5" t="s">
        <v>458</v>
      </c>
      <c r="C25" s="187"/>
      <c r="D25" s="187"/>
      <c r="E25" s="187"/>
      <c r="F25" s="187"/>
      <c r="G25" s="188"/>
      <c r="H25" s="188"/>
    </row>
    <row r="26" spans="1:8" x14ac:dyDescent="0.25">
      <c r="A26" s="3" t="s">
        <v>22</v>
      </c>
      <c r="B26" s="5" t="s">
        <v>459</v>
      </c>
      <c r="C26" s="187"/>
      <c r="D26" s="187"/>
      <c r="E26" s="187"/>
      <c r="F26" s="187"/>
      <c r="G26" s="188"/>
      <c r="H26" s="188"/>
    </row>
    <row r="27" spans="1:8" x14ac:dyDescent="0.25">
      <c r="A27" s="3" t="s">
        <v>22</v>
      </c>
      <c r="B27" s="5" t="s">
        <v>460</v>
      </c>
      <c r="C27" s="187"/>
      <c r="D27" s="187"/>
      <c r="E27" s="187"/>
      <c r="F27" s="187"/>
      <c r="G27" s="188"/>
      <c r="H27" s="188"/>
    </row>
    <row r="28" spans="1:8" x14ac:dyDescent="0.25">
      <c r="A28" s="3" t="s">
        <v>22</v>
      </c>
      <c r="B28" s="5" t="s">
        <v>392</v>
      </c>
      <c r="C28" s="187"/>
      <c r="D28" s="187"/>
      <c r="E28" s="187"/>
      <c r="F28" s="187"/>
      <c r="G28" s="188"/>
      <c r="H28" s="188"/>
    </row>
    <row r="29" spans="1:8" x14ac:dyDescent="0.25">
      <c r="A29" s="3">
        <v>9</v>
      </c>
      <c r="B29" s="4" t="s">
        <v>393</v>
      </c>
      <c r="C29" s="187"/>
      <c r="D29" s="187"/>
      <c r="E29" s="187"/>
      <c r="F29" s="187"/>
      <c r="G29" s="188"/>
      <c r="H29" s="188"/>
    </row>
    <row r="30" spans="1:8" x14ac:dyDescent="0.25">
      <c r="A30" s="3">
        <v>10</v>
      </c>
      <c r="B30" s="4" t="s">
        <v>461</v>
      </c>
      <c r="C30" s="187">
        <v>3</v>
      </c>
      <c r="D30" s="187">
        <v>3</v>
      </c>
      <c r="E30" s="187"/>
      <c r="F30" s="187"/>
      <c r="G30" s="188"/>
      <c r="H30" s="188"/>
    </row>
    <row r="31" spans="1:8" x14ac:dyDescent="0.25">
      <c r="A31" s="3">
        <v>11</v>
      </c>
      <c r="B31" s="4" t="s">
        <v>395</v>
      </c>
      <c r="C31" s="187"/>
      <c r="D31" s="187"/>
      <c r="E31" s="187"/>
      <c r="F31" s="187"/>
      <c r="G31" s="188"/>
      <c r="H31" s="188"/>
    </row>
    <row r="32" spans="1:8" x14ac:dyDescent="0.25">
      <c r="A32" s="3">
        <v>12</v>
      </c>
      <c r="B32" s="4" t="s">
        <v>472</v>
      </c>
      <c r="C32" s="187">
        <v>17069</v>
      </c>
      <c r="D32" s="187">
        <f>C32</f>
        <v>17069</v>
      </c>
      <c r="E32" s="187">
        <v>3500</v>
      </c>
      <c r="F32" s="187">
        <f>E32</f>
        <v>3500</v>
      </c>
      <c r="G32" s="188">
        <f>E32/C32*100</f>
        <v>20.505009080789733</v>
      </c>
      <c r="H32" s="188">
        <f>F32/D32*100</f>
        <v>20.505009080789733</v>
      </c>
    </row>
    <row r="33" spans="1:8" x14ac:dyDescent="0.25">
      <c r="A33" s="3">
        <v>13</v>
      </c>
      <c r="B33" s="4" t="s">
        <v>1027</v>
      </c>
      <c r="C33" s="187">
        <f>12+12</f>
        <v>24</v>
      </c>
      <c r="D33" s="187">
        <f>12+12</f>
        <v>24</v>
      </c>
      <c r="E33" s="187"/>
      <c r="F33" s="187"/>
      <c r="G33" s="188"/>
      <c r="H33" s="188"/>
    </row>
    <row r="34" spans="1:8" x14ac:dyDescent="0.25">
      <c r="A34" s="3">
        <v>14</v>
      </c>
      <c r="B34" s="4" t="s">
        <v>462</v>
      </c>
      <c r="C34" s="187"/>
      <c r="D34" s="187"/>
      <c r="E34" s="82"/>
      <c r="F34" s="82"/>
      <c r="G34" s="188"/>
      <c r="H34" s="188"/>
    </row>
    <row r="35" spans="1:8" x14ac:dyDescent="0.25">
      <c r="A35" s="3"/>
      <c r="B35" s="4" t="s">
        <v>381</v>
      </c>
      <c r="C35" s="187"/>
      <c r="D35" s="187"/>
      <c r="E35" s="82"/>
      <c r="F35" s="82"/>
      <c r="G35" s="188"/>
      <c r="H35" s="188"/>
    </row>
    <row r="36" spans="1:8" x14ac:dyDescent="0.25">
      <c r="A36" s="3">
        <v>15</v>
      </c>
      <c r="B36" s="4" t="s">
        <v>398</v>
      </c>
      <c r="C36" s="187"/>
      <c r="D36" s="187"/>
      <c r="E36" s="187"/>
      <c r="F36" s="187"/>
      <c r="G36" s="188"/>
      <c r="H36" s="188"/>
    </row>
    <row r="37" spans="1:8" x14ac:dyDescent="0.25">
      <c r="A37" s="3">
        <v>16</v>
      </c>
      <c r="B37" s="4" t="s">
        <v>399</v>
      </c>
      <c r="C37" s="187">
        <f>9967+4611</f>
        <v>14578</v>
      </c>
      <c r="D37" s="187">
        <f>9896+4504</f>
        <v>14400</v>
      </c>
      <c r="E37" s="187">
        <f>2300+400+3000</f>
        <v>5700</v>
      </c>
      <c r="F37" s="187">
        <v>2300</v>
      </c>
      <c r="G37" s="188">
        <f>E37/C37*100</f>
        <v>39.100013719303064</v>
      </c>
      <c r="H37" s="188">
        <f>F37/D37*100</f>
        <v>15.972222222222221</v>
      </c>
    </row>
    <row r="38" spans="1:8" x14ac:dyDescent="0.25">
      <c r="A38" s="3">
        <v>17</v>
      </c>
      <c r="B38" s="4" t="s">
        <v>1303</v>
      </c>
      <c r="C38" s="187">
        <v>151</v>
      </c>
      <c r="D38" s="187">
        <f>C38</f>
        <v>151</v>
      </c>
      <c r="E38" s="3"/>
      <c r="F38" s="3"/>
      <c r="G38" s="3"/>
      <c r="H38" s="3"/>
    </row>
    <row r="39" spans="1:8" x14ac:dyDescent="0.25">
      <c r="A39" s="3">
        <v>18</v>
      </c>
      <c r="B39" s="4" t="s">
        <v>1301</v>
      </c>
      <c r="C39" s="187"/>
      <c r="D39" s="187"/>
      <c r="E39" s="3"/>
      <c r="F39" s="3"/>
      <c r="G39" s="3"/>
      <c r="H39" s="3"/>
    </row>
    <row r="40" spans="1:8" ht="34.5" customHeight="1" x14ac:dyDescent="0.25">
      <c r="A40" s="3">
        <v>19</v>
      </c>
      <c r="B40" s="4" t="s">
        <v>463</v>
      </c>
      <c r="C40" s="4"/>
      <c r="D40" s="4"/>
      <c r="E40" s="4"/>
      <c r="F40" s="3"/>
      <c r="G40" s="3"/>
      <c r="H40" s="3"/>
    </row>
    <row r="41" spans="1:8" x14ac:dyDescent="0.25">
      <c r="A41" s="3">
        <v>20</v>
      </c>
      <c r="B41" s="4" t="s">
        <v>464</v>
      </c>
      <c r="C41" s="3"/>
      <c r="D41" s="3"/>
      <c r="E41" s="3"/>
      <c r="F41" s="3"/>
      <c r="G41" s="3"/>
      <c r="H41" s="3"/>
    </row>
    <row r="42" spans="1:8" x14ac:dyDescent="0.25">
      <c r="A42" s="2" t="s">
        <v>70</v>
      </c>
      <c r="B42" s="14" t="s">
        <v>285</v>
      </c>
      <c r="C42" s="3"/>
      <c r="D42" s="3"/>
      <c r="E42" s="3"/>
      <c r="F42" s="3"/>
      <c r="G42" s="3"/>
      <c r="H42" s="3"/>
    </row>
    <row r="43" spans="1:8" x14ac:dyDescent="0.25">
      <c r="A43" s="2" t="s">
        <v>73</v>
      </c>
      <c r="B43" s="14" t="s">
        <v>286</v>
      </c>
      <c r="C43" s="3"/>
      <c r="D43" s="3"/>
      <c r="E43" s="3"/>
      <c r="F43" s="3"/>
      <c r="G43" s="3"/>
      <c r="H43" s="3"/>
    </row>
    <row r="44" spans="1:8" x14ac:dyDescent="0.25">
      <c r="A44" s="3">
        <v>1</v>
      </c>
      <c r="B44" s="4" t="s">
        <v>465</v>
      </c>
      <c r="C44" s="3"/>
      <c r="D44" s="3"/>
      <c r="E44" s="3"/>
      <c r="F44" s="3"/>
      <c r="G44" s="3"/>
      <c r="H44" s="3"/>
    </row>
    <row r="45" spans="1:8" x14ac:dyDescent="0.25">
      <c r="A45" s="3">
        <v>2</v>
      </c>
      <c r="B45" s="4" t="s">
        <v>466</v>
      </c>
      <c r="C45" s="3"/>
      <c r="D45" s="3"/>
      <c r="E45" s="3"/>
      <c r="F45" s="3"/>
      <c r="G45" s="3"/>
      <c r="H45" s="3"/>
    </row>
    <row r="46" spans="1:8" x14ac:dyDescent="0.25">
      <c r="A46" s="3">
        <v>3</v>
      </c>
      <c r="B46" s="4" t="s">
        <v>406</v>
      </c>
      <c r="C46" s="3"/>
      <c r="D46" s="3"/>
      <c r="E46" s="3"/>
      <c r="F46" s="3"/>
      <c r="G46" s="3"/>
      <c r="H46" s="3"/>
    </row>
    <row r="47" spans="1:8" x14ac:dyDescent="0.25">
      <c r="A47" s="3">
        <v>4</v>
      </c>
      <c r="B47" s="4" t="s">
        <v>467</v>
      </c>
      <c r="C47" s="3"/>
      <c r="D47" s="3"/>
      <c r="E47" s="3"/>
      <c r="F47" s="3"/>
      <c r="G47" s="3"/>
      <c r="H47" s="3"/>
    </row>
    <row r="48" spans="1:8" x14ac:dyDescent="0.25">
      <c r="A48" s="3">
        <v>5</v>
      </c>
      <c r="B48" s="4" t="s">
        <v>468</v>
      </c>
      <c r="C48" s="3"/>
      <c r="D48" s="3"/>
      <c r="E48" s="3"/>
      <c r="F48" s="3"/>
      <c r="G48" s="3"/>
      <c r="H48" s="3"/>
    </row>
    <row r="49" spans="1:8" x14ac:dyDescent="0.25">
      <c r="A49" s="3">
        <v>6</v>
      </c>
      <c r="B49" s="4" t="s">
        <v>409</v>
      </c>
      <c r="C49" s="3"/>
      <c r="D49" s="3"/>
      <c r="E49" s="3"/>
      <c r="F49" s="3"/>
      <c r="G49" s="3"/>
      <c r="H49" s="3"/>
    </row>
    <row r="50" spans="1:8" x14ac:dyDescent="0.25">
      <c r="A50" s="2" t="s">
        <v>77</v>
      </c>
      <c r="B50" s="14" t="s">
        <v>410</v>
      </c>
      <c r="C50" s="3"/>
      <c r="D50" s="3"/>
      <c r="E50" s="3"/>
      <c r="F50" s="3"/>
      <c r="G50" s="3"/>
      <c r="H50" s="3"/>
    </row>
    <row r="51" spans="1:8" ht="18.75" customHeight="1" x14ac:dyDescent="0.25">
      <c r="A51" s="15"/>
    </row>
    <row r="52" spans="1:8" ht="35.25" customHeight="1" x14ac:dyDescent="0.25">
      <c r="A52" s="562"/>
      <c r="B52" s="562"/>
      <c r="C52" s="562"/>
      <c r="D52" s="562"/>
      <c r="E52" s="562"/>
      <c r="F52" s="562"/>
      <c r="G52" s="562"/>
      <c r="H52" s="562"/>
    </row>
    <row r="53" spans="1:8" ht="35.25" customHeight="1" x14ac:dyDescent="0.25">
      <c r="A53" s="562"/>
      <c r="B53" s="562"/>
      <c r="C53" s="562"/>
      <c r="D53" s="562"/>
      <c r="E53" s="562"/>
      <c r="F53" s="562"/>
      <c r="G53" s="562"/>
      <c r="H53" s="562"/>
    </row>
    <row r="54" spans="1:8" ht="35.25" customHeight="1" x14ac:dyDescent="0.25">
      <c r="A54" s="562"/>
      <c r="B54" s="562"/>
      <c r="C54" s="562"/>
      <c r="D54" s="562"/>
      <c r="E54" s="562"/>
      <c r="F54" s="562"/>
      <c r="G54" s="562"/>
      <c r="H54" s="562"/>
    </row>
    <row r="55" spans="1:8" ht="35.25" customHeight="1" x14ac:dyDescent="0.25">
      <c r="A55" s="562"/>
      <c r="B55" s="562"/>
      <c r="C55" s="562"/>
      <c r="D55" s="562"/>
      <c r="E55" s="562"/>
      <c r="F55" s="562"/>
      <c r="G55" s="562"/>
      <c r="H55" s="562"/>
    </row>
    <row r="56" spans="1:8" ht="65.25" customHeight="1" x14ac:dyDescent="0.25">
      <c r="A56" s="562"/>
      <c r="B56" s="562"/>
      <c r="C56" s="562"/>
      <c r="D56" s="562"/>
      <c r="E56" s="562"/>
      <c r="F56" s="562"/>
      <c r="G56" s="562"/>
      <c r="H56" s="562"/>
    </row>
  </sheetData>
  <mergeCells count="15">
    <mergeCell ref="A54:H54"/>
    <mergeCell ref="A55:H55"/>
    <mergeCell ref="A56:H56"/>
    <mergeCell ref="A1:H1"/>
    <mergeCell ref="A2:H2"/>
    <mergeCell ref="A4:H4"/>
    <mergeCell ref="G5:H5"/>
    <mergeCell ref="A52:H52"/>
    <mergeCell ref="A53:H53"/>
    <mergeCell ref="A6:A7"/>
    <mergeCell ref="B6:B7"/>
    <mergeCell ref="C6:D6"/>
    <mergeCell ref="E6:F6"/>
    <mergeCell ref="G6:H6"/>
    <mergeCell ref="A3:H3"/>
  </mergeCells>
  <printOptions horizontalCentered="1"/>
  <pageMargins left="0.11811023622047245" right="0.11811023622047245" top="0.15748031496062992" bottom="0.15748031496062992" header="0.31496062992125984" footer="0.31496062992125984"/>
  <pageSetup paperSize="9" scale="85"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A1:H36"/>
  <sheetViews>
    <sheetView workbookViewId="0">
      <selection activeCell="D31" sqref="D31"/>
    </sheetView>
  </sheetViews>
  <sheetFormatPr defaultColWidth="9.28515625" defaultRowHeight="15" x14ac:dyDescent="0.25"/>
  <cols>
    <col min="1" max="1" width="6" style="7" customWidth="1"/>
    <col min="2" max="2" width="49.7109375" style="7" customWidth="1"/>
    <col min="3" max="3" width="12.42578125" style="7" customWidth="1"/>
    <col min="4" max="4" width="12.5703125" style="7" customWidth="1"/>
    <col min="5" max="6" width="12" style="7" customWidth="1"/>
    <col min="7" max="16384" width="9.28515625" style="7"/>
  </cols>
  <sheetData>
    <row r="1" spans="1:8" x14ac:dyDescent="0.25">
      <c r="A1" s="559" t="s">
        <v>473</v>
      </c>
      <c r="B1" s="559"/>
      <c r="C1" s="559"/>
      <c r="D1" s="559"/>
      <c r="E1" s="559"/>
      <c r="F1" s="559"/>
    </row>
    <row r="2" spans="1:8" ht="18.75" x14ac:dyDescent="0.25">
      <c r="A2" s="554" t="s">
        <v>1304</v>
      </c>
      <c r="B2" s="554"/>
      <c r="C2" s="554"/>
      <c r="D2" s="554"/>
      <c r="E2" s="554"/>
      <c r="F2" s="554"/>
    </row>
    <row r="3" spans="1:8" ht="15" customHeight="1" x14ac:dyDescent="0.25">
      <c r="A3" s="579" t="s">
        <v>1299</v>
      </c>
      <c r="B3" s="579"/>
      <c r="C3" s="579"/>
      <c r="D3" s="579"/>
      <c r="E3" s="579"/>
      <c r="F3" s="579"/>
      <c r="G3" s="154"/>
      <c r="H3" s="154"/>
    </row>
    <row r="4" spans="1:8" x14ac:dyDescent="0.25">
      <c r="E4" s="561" t="s">
        <v>56</v>
      </c>
      <c r="F4" s="561"/>
    </row>
    <row r="5" spans="1:8" x14ac:dyDescent="0.25">
      <c r="A5" s="567" t="s">
        <v>3</v>
      </c>
      <c r="B5" s="567" t="s">
        <v>4</v>
      </c>
      <c r="C5" s="567" t="s">
        <v>990</v>
      </c>
      <c r="D5" s="567" t="s">
        <v>1300</v>
      </c>
      <c r="E5" s="567" t="s">
        <v>229</v>
      </c>
      <c r="F5" s="567"/>
    </row>
    <row r="6" spans="1:8" ht="28.5" x14ac:dyDescent="0.25">
      <c r="A6" s="567"/>
      <c r="B6" s="567"/>
      <c r="C6" s="567"/>
      <c r="D6" s="567"/>
      <c r="E6" s="8" t="s">
        <v>233</v>
      </c>
      <c r="F6" s="8" t="s">
        <v>415</v>
      </c>
    </row>
    <row r="7" spans="1:8" x14ac:dyDescent="0.25">
      <c r="A7" s="8" t="s">
        <v>15</v>
      </c>
      <c r="B7" s="8" t="s">
        <v>16</v>
      </c>
      <c r="C7" s="8">
        <v>1</v>
      </c>
      <c r="D7" s="8">
        <v>2</v>
      </c>
      <c r="E7" s="8" t="s">
        <v>359</v>
      </c>
      <c r="F7" s="8" t="s">
        <v>360</v>
      </c>
    </row>
    <row r="8" spans="1:8" x14ac:dyDescent="0.25">
      <c r="A8" s="8"/>
      <c r="B8" s="9" t="s">
        <v>90</v>
      </c>
      <c r="C8" s="72">
        <f>C9+C28+C33</f>
        <v>672773</v>
      </c>
      <c r="D8" s="72">
        <f>D9+D28+D33</f>
        <v>161835</v>
      </c>
      <c r="E8" s="72">
        <f>E9+E28+E33</f>
        <v>-510938</v>
      </c>
      <c r="F8" s="73">
        <f>D8/C8*100</f>
        <v>24.054918969697059</v>
      </c>
    </row>
    <row r="9" spans="1:8" x14ac:dyDescent="0.25">
      <c r="A9" s="8" t="s">
        <v>15</v>
      </c>
      <c r="B9" s="9" t="s">
        <v>416</v>
      </c>
      <c r="C9" s="72">
        <f>C10+C20+C24+C25+C26+C27</f>
        <v>641760</v>
      </c>
      <c r="D9" s="72">
        <f>D10+D20+D24+D25+D26+D27</f>
        <v>145935</v>
      </c>
      <c r="E9" s="72">
        <f>E10+E20+E24+E25+E26+E27</f>
        <v>-495825</v>
      </c>
      <c r="F9" s="73">
        <f>D9/C9*100</f>
        <v>22.739809274495137</v>
      </c>
    </row>
    <row r="10" spans="1:8" x14ac:dyDescent="0.25">
      <c r="A10" s="8" t="s">
        <v>83</v>
      </c>
      <c r="B10" s="9" t="s">
        <v>93</v>
      </c>
      <c r="C10" s="72">
        <f>C11+C18+C19</f>
        <v>51186</v>
      </c>
      <c r="D10" s="72">
        <f>D11+D18+D19</f>
        <v>117160</v>
      </c>
      <c r="E10" s="72">
        <f>E11+E18+E19</f>
        <v>65974</v>
      </c>
      <c r="F10" s="73">
        <f>D10/C10*100</f>
        <v>228.89071230414567</v>
      </c>
    </row>
    <row r="11" spans="1:8" x14ac:dyDescent="0.25">
      <c r="A11" s="10">
        <v>1</v>
      </c>
      <c r="B11" s="12" t="s">
        <v>417</v>
      </c>
      <c r="C11" s="74">
        <v>51186</v>
      </c>
      <c r="D11" s="74">
        <v>117160</v>
      </c>
      <c r="E11" s="74">
        <f>D11-C11</f>
        <v>65974</v>
      </c>
      <c r="F11" s="75">
        <f>D11/C11*100</f>
        <v>228.89071230414567</v>
      </c>
    </row>
    <row r="12" spans="1:8" x14ac:dyDescent="0.25">
      <c r="A12" s="10"/>
      <c r="B12" s="11" t="s">
        <v>474</v>
      </c>
      <c r="C12" s="76"/>
      <c r="D12" s="76"/>
      <c r="E12" s="76"/>
      <c r="F12" s="77"/>
    </row>
    <row r="13" spans="1:8" x14ac:dyDescent="0.25">
      <c r="A13" s="10" t="s">
        <v>22</v>
      </c>
      <c r="B13" s="11" t="s">
        <v>419</v>
      </c>
      <c r="C13" s="76"/>
      <c r="D13" s="114"/>
      <c r="E13" s="76"/>
      <c r="F13" s="77"/>
    </row>
    <row r="14" spans="1:8" x14ac:dyDescent="0.25">
      <c r="A14" s="10" t="s">
        <v>22</v>
      </c>
      <c r="B14" s="11" t="s">
        <v>420</v>
      </c>
      <c r="C14" s="76"/>
      <c r="D14" s="76"/>
      <c r="E14" s="76"/>
      <c r="F14" s="77"/>
    </row>
    <row r="15" spans="1:8" x14ac:dyDescent="0.25">
      <c r="A15" s="10"/>
      <c r="B15" s="11" t="s">
        <v>421</v>
      </c>
      <c r="C15" s="76"/>
      <c r="D15" s="76"/>
      <c r="E15" s="76"/>
      <c r="F15" s="77"/>
    </row>
    <row r="16" spans="1:8" x14ac:dyDescent="0.25">
      <c r="A16" s="10" t="s">
        <v>22</v>
      </c>
      <c r="B16" s="11" t="s">
        <v>478</v>
      </c>
      <c r="C16" s="76"/>
      <c r="D16" s="76"/>
      <c r="E16" s="76"/>
      <c r="F16" s="77"/>
    </row>
    <row r="17" spans="1:6" x14ac:dyDescent="0.25">
      <c r="A17" s="10" t="s">
        <v>22</v>
      </c>
      <c r="B17" s="11" t="s">
        <v>423</v>
      </c>
      <c r="C17" s="76"/>
      <c r="D17" s="76"/>
      <c r="E17" s="76"/>
      <c r="F17" s="77"/>
    </row>
    <row r="18" spans="1:6" ht="60" x14ac:dyDescent="0.25">
      <c r="A18" s="10">
        <v>2</v>
      </c>
      <c r="B18" s="12" t="s">
        <v>424</v>
      </c>
      <c r="C18" s="74"/>
      <c r="D18" s="74"/>
      <c r="E18" s="74">
        <f>D18-C18</f>
        <v>0</v>
      </c>
      <c r="F18" s="75"/>
    </row>
    <row r="19" spans="1:6" x14ac:dyDescent="0.25">
      <c r="A19" s="10">
        <v>3</v>
      </c>
      <c r="B19" s="12" t="s">
        <v>425</v>
      </c>
      <c r="C19" s="74"/>
      <c r="D19" s="74"/>
      <c r="E19" s="74"/>
      <c r="F19" s="75"/>
    </row>
    <row r="20" spans="1:6" x14ac:dyDescent="0.25">
      <c r="A20" s="8" t="s">
        <v>70</v>
      </c>
      <c r="B20" s="9" t="s">
        <v>96</v>
      </c>
      <c r="C20" s="72">
        <f>'14'!C22</f>
        <v>577458</v>
      </c>
      <c r="D20" s="72">
        <f>'12'!D24</f>
        <v>0</v>
      </c>
      <c r="E20" s="72">
        <f t="shared" ref="E20:E26" si="0">D20-C20</f>
        <v>-577458</v>
      </c>
      <c r="F20" s="73">
        <f>D20/C20*100</f>
        <v>0</v>
      </c>
    </row>
    <row r="21" spans="1:6" x14ac:dyDescent="0.25">
      <c r="A21" s="10"/>
      <c r="B21" s="11" t="s">
        <v>134</v>
      </c>
      <c r="C21" s="74"/>
      <c r="D21" s="74"/>
      <c r="E21" s="74">
        <f t="shared" si="0"/>
        <v>0</v>
      </c>
      <c r="F21" s="75"/>
    </row>
    <row r="22" spans="1:6" x14ac:dyDescent="0.25">
      <c r="A22" s="10">
        <v>1</v>
      </c>
      <c r="B22" s="11" t="s">
        <v>419</v>
      </c>
      <c r="C22" s="76">
        <f>'14'!C24</f>
        <v>296781</v>
      </c>
      <c r="D22" s="76">
        <f>'14'!D24</f>
        <v>0</v>
      </c>
      <c r="E22" s="76">
        <f t="shared" si="0"/>
        <v>-296781</v>
      </c>
      <c r="F22" s="77">
        <f t="shared" ref="F22:F31" si="1">D22/C22*100</f>
        <v>0</v>
      </c>
    </row>
    <row r="23" spans="1:6" x14ac:dyDescent="0.25">
      <c r="A23" s="10">
        <v>2</v>
      </c>
      <c r="B23" s="11" t="s">
        <v>475</v>
      </c>
      <c r="C23" s="76">
        <v>486</v>
      </c>
      <c r="D23" s="76">
        <v>486</v>
      </c>
      <c r="E23" s="76">
        <f t="shared" si="0"/>
        <v>0</v>
      </c>
      <c r="F23" s="77">
        <f t="shared" si="1"/>
        <v>100</v>
      </c>
    </row>
    <row r="24" spans="1:6" ht="28.5" x14ac:dyDescent="0.25">
      <c r="A24" s="8" t="s">
        <v>73</v>
      </c>
      <c r="B24" s="9" t="s">
        <v>438</v>
      </c>
      <c r="C24" s="74"/>
      <c r="D24" s="74"/>
      <c r="E24" s="74">
        <f t="shared" si="0"/>
        <v>0</v>
      </c>
      <c r="F24" s="75"/>
    </row>
    <row r="25" spans="1:6" s="172" customFormat="1" ht="14.25" x14ac:dyDescent="0.25">
      <c r="A25" s="8" t="s">
        <v>77</v>
      </c>
      <c r="B25" s="9" t="s">
        <v>1202</v>
      </c>
      <c r="C25" s="72">
        <f>'14'!C27</f>
        <v>0</v>
      </c>
      <c r="D25" s="72">
        <f>'14'!D27</f>
        <v>0</v>
      </c>
      <c r="E25" s="72">
        <f t="shared" si="0"/>
        <v>0</v>
      </c>
      <c r="F25" s="73"/>
    </row>
    <row r="26" spans="1:6" x14ac:dyDescent="0.25">
      <c r="A26" s="8" t="s">
        <v>113</v>
      </c>
      <c r="B26" s="9" t="s">
        <v>247</v>
      </c>
      <c r="C26" s="72">
        <f>'14'!C28</f>
        <v>13116</v>
      </c>
      <c r="D26" s="72">
        <f>'14'!D28</f>
        <v>12875</v>
      </c>
      <c r="E26" s="72">
        <f t="shared" si="0"/>
        <v>-241</v>
      </c>
      <c r="F26" s="73">
        <f t="shared" si="1"/>
        <v>98.162549557792005</v>
      </c>
    </row>
    <row r="27" spans="1:6" x14ac:dyDescent="0.25">
      <c r="A27" s="8" t="s">
        <v>426</v>
      </c>
      <c r="B27" s="9" t="s">
        <v>98</v>
      </c>
      <c r="C27" s="72">
        <f>'14'!C29</f>
        <v>0</v>
      </c>
      <c r="D27" s="72">
        <f>'12'!D28</f>
        <v>15900</v>
      </c>
      <c r="E27" s="72">
        <f>D27-C27</f>
        <v>15900</v>
      </c>
      <c r="F27" s="73" t="e">
        <f t="shared" si="1"/>
        <v>#DIV/0!</v>
      </c>
    </row>
    <row r="28" spans="1:6" x14ac:dyDescent="0.25">
      <c r="A28" s="8" t="s">
        <v>16</v>
      </c>
      <c r="B28" s="9" t="s">
        <v>428</v>
      </c>
      <c r="C28" s="72">
        <f>C29+C31</f>
        <v>31013</v>
      </c>
      <c r="D28" s="72">
        <f>D29+D31</f>
        <v>15900</v>
      </c>
      <c r="E28" s="72">
        <f>E29+E31</f>
        <v>-15113</v>
      </c>
      <c r="F28" s="73">
        <f t="shared" si="1"/>
        <v>51.268822751749269</v>
      </c>
    </row>
    <row r="29" spans="1:6" x14ac:dyDescent="0.25">
      <c r="A29" s="8" t="s">
        <v>83</v>
      </c>
      <c r="B29" s="9" t="s">
        <v>249</v>
      </c>
      <c r="C29" s="72">
        <f>'14'!C31</f>
        <v>0</v>
      </c>
      <c r="D29" s="72">
        <f>'14'!D31</f>
        <v>15900</v>
      </c>
      <c r="E29" s="72">
        <f>D29-C29</f>
        <v>15900</v>
      </c>
      <c r="F29" s="73" t="e">
        <f t="shared" si="1"/>
        <v>#DIV/0!</v>
      </c>
    </row>
    <row r="30" spans="1:6" x14ac:dyDescent="0.25">
      <c r="A30" s="10"/>
      <c r="B30" s="12" t="s">
        <v>429</v>
      </c>
      <c r="C30" s="74"/>
      <c r="D30" s="74"/>
      <c r="E30" s="74"/>
      <c r="F30" s="73"/>
    </row>
    <row r="31" spans="1:6" x14ac:dyDescent="0.25">
      <c r="A31" s="8" t="s">
        <v>70</v>
      </c>
      <c r="B31" s="9" t="s">
        <v>250</v>
      </c>
      <c r="C31" s="72">
        <f>'14'!C33</f>
        <v>31013</v>
      </c>
      <c r="D31" s="72">
        <f>'12'!D31</f>
        <v>0</v>
      </c>
      <c r="E31" s="72">
        <f>D31-C31</f>
        <v>-31013</v>
      </c>
      <c r="F31" s="73">
        <f t="shared" si="1"/>
        <v>0</v>
      </c>
    </row>
    <row r="32" spans="1:6" x14ac:dyDescent="0.25">
      <c r="A32" s="10"/>
      <c r="B32" s="12" t="s">
        <v>430</v>
      </c>
      <c r="C32" s="10"/>
      <c r="D32" s="10"/>
      <c r="E32" s="10"/>
      <c r="F32" s="10"/>
    </row>
    <row r="33" spans="1:6" x14ac:dyDescent="0.25">
      <c r="A33" s="8" t="s">
        <v>79</v>
      </c>
      <c r="B33" s="9" t="s">
        <v>476</v>
      </c>
      <c r="C33" s="10"/>
      <c r="D33" s="10"/>
      <c r="E33" s="10"/>
      <c r="F33" s="10"/>
    </row>
    <row r="34" spans="1:6" x14ac:dyDescent="0.25">
      <c r="A34" s="23" t="s">
        <v>479</v>
      </c>
    </row>
    <row r="35" spans="1:6" s="24" customFormat="1" ht="53.25" customHeight="1" x14ac:dyDescent="0.25">
      <c r="A35" s="585" t="s">
        <v>480</v>
      </c>
      <c r="B35" s="585"/>
      <c r="C35" s="585"/>
      <c r="D35" s="585"/>
      <c r="E35" s="585"/>
      <c r="F35" s="585"/>
    </row>
    <row r="36" spans="1:6" s="24" customFormat="1" ht="36" customHeight="1" x14ac:dyDescent="0.25">
      <c r="A36" s="585" t="s">
        <v>477</v>
      </c>
      <c r="B36" s="585"/>
      <c r="C36" s="585"/>
      <c r="D36" s="585"/>
      <c r="E36" s="585"/>
      <c r="F36" s="585"/>
    </row>
  </sheetData>
  <mergeCells count="11">
    <mergeCell ref="A35:F35"/>
    <mergeCell ref="A36:F36"/>
    <mergeCell ref="A5:A6"/>
    <mergeCell ref="B5:B6"/>
    <mergeCell ref="C5:C6"/>
    <mergeCell ref="D5:D6"/>
    <mergeCell ref="E5:F5"/>
    <mergeCell ref="A1:F1"/>
    <mergeCell ref="A2:F2"/>
    <mergeCell ref="A3:F3"/>
    <mergeCell ref="E4:F4"/>
  </mergeCells>
  <printOptions horizontalCentered="1"/>
  <pageMargins left="0.11811023622047245" right="0.11811023622047245" top="0.15748031496062992" bottom="0.15748031496062992" header="0.31496062992125984" footer="0.31496062992125984"/>
  <pageSetup paperSize="9" scale="90"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F40"/>
  <sheetViews>
    <sheetView workbookViewId="0">
      <selection activeCell="E15" sqref="E15"/>
    </sheetView>
  </sheetViews>
  <sheetFormatPr defaultRowHeight="15" x14ac:dyDescent="0.25"/>
  <cols>
    <col min="1" max="1" width="5.7109375" customWidth="1"/>
    <col min="2" max="2" width="41.5703125" customWidth="1"/>
    <col min="3" max="5" width="12.42578125" customWidth="1"/>
  </cols>
  <sheetData>
    <row r="1" spans="1:6" ht="22.5" customHeight="1" x14ac:dyDescent="0.25">
      <c r="A1" s="559" t="s">
        <v>481</v>
      </c>
      <c r="B1" s="559"/>
      <c r="C1" s="559"/>
      <c r="D1" s="559"/>
      <c r="E1" s="559"/>
    </row>
    <row r="2" spans="1:6" ht="44.25" customHeight="1" x14ac:dyDescent="0.25">
      <c r="A2" s="554" t="s">
        <v>482</v>
      </c>
      <c r="B2" s="554"/>
      <c r="C2" s="554"/>
      <c r="D2" s="554"/>
      <c r="E2" s="554"/>
    </row>
    <row r="3" spans="1:6" ht="20.25" customHeight="1" x14ac:dyDescent="0.25">
      <c r="A3" s="561"/>
      <c r="B3" s="561"/>
      <c r="C3" s="561"/>
      <c r="D3" s="561"/>
      <c r="E3" s="561"/>
      <c r="F3" s="148"/>
    </row>
    <row r="4" spans="1:6" x14ac:dyDescent="0.25">
      <c r="B4" s="1"/>
      <c r="C4" s="1"/>
      <c r="D4" s="561" t="s">
        <v>56</v>
      </c>
      <c r="E4" s="561"/>
    </row>
    <row r="5" spans="1:6" ht="39" customHeight="1" x14ac:dyDescent="0.25">
      <c r="A5" s="2" t="s">
        <v>3</v>
      </c>
      <c r="B5" s="2" t="s">
        <v>4</v>
      </c>
      <c r="C5" s="2" t="s">
        <v>509</v>
      </c>
      <c r="D5" s="2" t="s">
        <v>510</v>
      </c>
      <c r="E5" s="2" t="s">
        <v>229</v>
      </c>
    </row>
    <row r="6" spans="1:6" x14ac:dyDescent="0.25">
      <c r="A6" s="2" t="s">
        <v>15</v>
      </c>
      <c r="B6" s="2" t="s">
        <v>16</v>
      </c>
      <c r="C6" s="2">
        <v>1</v>
      </c>
      <c r="D6" s="2">
        <v>2</v>
      </c>
      <c r="E6" s="2" t="s">
        <v>359</v>
      </c>
    </row>
    <row r="7" spans="1:6" x14ac:dyDescent="0.25">
      <c r="A7" s="2" t="s">
        <v>15</v>
      </c>
      <c r="B7" s="14" t="s">
        <v>483</v>
      </c>
      <c r="C7" s="4"/>
      <c r="D7" s="4"/>
      <c r="E7" s="4"/>
    </row>
    <row r="8" spans="1:6" x14ac:dyDescent="0.25">
      <c r="A8" s="2" t="s">
        <v>16</v>
      </c>
      <c r="B8" s="14" t="s">
        <v>416</v>
      </c>
      <c r="C8" s="4"/>
      <c r="D8" s="4"/>
      <c r="E8" s="4"/>
    </row>
    <row r="9" spans="1:6" x14ac:dyDescent="0.25">
      <c r="A9" s="2" t="s">
        <v>79</v>
      </c>
      <c r="B9" s="14" t="s">
        <v>484</v>
      </c>
      <c r="C9" s="4"/>
      <c r="D9" s="4"/>
      <c r="E9" s="4"/>
    </row>
    <row r="10" spans="1:6" ht="28.5" x14ac:dyDescent="0.25">
      <c r="A10" s="2" t="s">
        <v>89</v>
      </c>
      <c r="B10" s="14" t="s">
        <v>485</v>
      </c>
      <c r="C10" s="4"/>
      <c r="D10" s="4"/>
      <c r="E10" s="4"/>
    </row>
    <row r="11" spans="1:6" x14ac:dyDescent="0.25">
      <c r="A11" s="2" t="s">
        <v>99</v>
      </c>
      <c r="B11" s="14" t="s">
        <v>486</v>
      </c>
      <c r="C11" s="4"/>
      <c r="D11" s="4"/>
      <c r="E11" s="4"/>
    </row>
    <row r="12" spans="1:6" x14ac:dyDescent="0.25">
      <c r="A12" s="2" t="s">
        <v>83</v>
      </c>
      <c r="B12" s="14" t="s">
        <v>487</v>
      </c>
      <c r="C12" s="4"/>
      <c r="D12" s="4"/>
      <c r="E12" s="4"/>
    </row>
    <row r="13" spans="1:6" ht="30" x14ac:dyDescent="0.25">
      <c r="A13" s="3"/>
      <c r="B13" s="5" t="s">
        <v>488</v>
      </c>
      <c r="C13" s="4"/>
      <c r="D13" s="4"/>
      <c r="E13" s="4"/>
    </row>
    <row r="14" spans="1:6" x14ac:dyDescent="0.25">
      <c r="A14" s="3">
        <v>1</v>
      </c>
      <c r="B14" s="4" t="s">
        <v>489</v>
      </c>
      <c r="C14" s="4"/>
      <c r="D14" s="4"/>
      <c r="E14" s="4"/>
    </row>
    <row r="15" spans="1:6" x14ac:dyDescent="0.25">
      <c r="A15" s="3">
        <v>2</v>
      </c>
      <c r="B15" s="4" t="s">
        <v>490</v>
      </c>
      <c r="C15" s="4"/>
      <c r="D15" s="4"/>
      <c r="E15" s="4"/>
    </row>
    <row r="16" spans="1:6" x14ac:dyDescent="0.25">
      <c r="A16" s="3">
        <v>3</v>
      </c>
      <c r="B16" s="4" t="s">
        <v>491</v>
      </c>
      <c r="C16" s="4"/>
      <c r="D16" s="4"/>
      <c r="E16" s="4"/>
    </row>
    <row r="17" spans="1:5" x14ac:dyDescent="0.25">
      <c r="A17" s="2" t="s">
        <v>70</v>
      </c>
      <c r="B17" s="14" t="s">
        <v>492</v>
      </c>
      <c r="C17" s="4"/>
      <c r="D17" s="4"/>
      <c r="E17" s="4"/>
    </row>
    <row r="18" spans="1:5" x14ac:dyDescent="0.25">
      <c r="A18" s="2">
        <v>1</v>
      </c>
      <c r="B18" s="14" t="s">
        <v>493</v>
      </c>
      <c r="C18" s="4"/>
      <c r="D18" s="4"/>
      <c r="E18" s="4"/>
    </row>
    <row r="19" spans="1:5" x14ac:dyDescent="0.25">
      <c r="A19" s="3" t="s">
        <v>22</v>
      </c>
      <c r="B19" s="4" t="s">
        <v>489</v>
      </c>
      <c r="C19" s="4"/>
      <c r="D19" s="4"/>
      <c r="E19" s="4"/>
    </row>
    <row r="20" spans="1:5" x14ac:dyDescent="0.25">
      <c r="A20" s="3" t="s">
        <v>22</v>
      </c>
      <c r="B20" s="4" t="s">
        <v>508</v>
      </c>
      <c r="C20" s="4"/>
      <c r="D20" s="4"/>
      <c r="E20" s="4"/>
    </row>
    <row r="21" spans="1:5" x14ac:dyDescent="0.25">
      <c r="A21" s="3" t="s">
        <v>22</v>
      </c>
      <c r="B21" s="4" t="s">
        <v>494</v>
      </c>
      <c r="C21" s="4"/>
      <c r="D21" s="4"/>
      <c r="E21" s="4"/>
    </row>
    <row r="22" spans="1:5" x14ac:dyDescent="0.25">
      <c r="A22" s="2">
        <v>2</v>
      </c>
      <c r="B22" s="14" t="s">
        <v>495</v>
      </c>
      <c r="C22" s="4"/>
      <c r="D22" s="4"/>
      <c r="E22" s="4"/>
    </row>
    <row r="23" spans="1:5" x14ac:dyDescent="0.25">
      <c r="A23" s="3" t="s">
        <v>22</v>
      </c>
      <c r="B23" s="4" t="s">
        <v>496</v>
      </c>
      <c r="C23" s="4"/>
      <c r="D23" s="4"/>
      <c r="E23" s="4"/>
    </row>
    <row r="24" spans="1:5" x14ac:dyDescent="0.25">
      <c r="A24" s="3" t="s">
        <v>22</v>
      </c>
      <c r="B24" s="4" t="s">
        <v>497</v>
      </c>
      <c r="C24" s="4"/>
      <c r="D24" s="4"/>
      <c r="E24" s="4"/>
    </row>
    <row r="25" spans="1:5" x14ac:dyDescent="0.25">
      <c r="A25" s="3" t="s">
        <v>22</v>
      </c>
      <c r="B25" s="4" t="s">
        <v>498</v>
      </c>
      <c r="C25" s="4"/>
      <c r="D25" s="4"/>
      <c r="E25" s="4"/>
    </row>
    <row r="26" spans="1:5" x14ac:dyDescent="0.25">
      <c r="A26" s="3" t="s">
        <v>22</v>
      </c>
      <c r="B26" s="4" t="s">
        <v>499</v>
      </c>
      <c r="C26" s="4"/>
      <c r="D26" s="4"/>
      <c r="E26" s="4"/>
    </row>
    <row r="27" spans="1:5" x14ac:dyDescent="0.25">
      <c r="A27" s="2" t="s">
        <v>73</v>
      </c>
      <c r="B27" s="14" t="s">
        <v>500</v>
      </c>
      <c r="C27" s="4"/>
      <c r="D27" s="4"/>
      <c r="E27" s="4"/>
    </row>
    <row r="28" spans="1:5" x14ac:dyDescent="0.25">
      <c r="A28" s="2">
        <v>1</v>
      </c>
      <c r="B28" s="14" t="s">
        <v>501</v>
      </c>
      <c r="C28" s="4"/>
      <c r="D28" s="4"/>
      <c r="E28" s="4"/>
    </row>
    <row r="29" spans="1:5" x14ac:dyDescent="0.25">
      <c r="A29" s="3" t="s">
        <v>22</v>
      </c>
      <c r="B29" s="4" t="s">
        <v>111</v>
      </c>
      <c r="C29" s="4"/>
      <c r="D29" s="4"/>
      <c r="E29" s="4"/>
    </row>
    <row r="30" spans="1:5" x14ac:dyDescent="0.25">
      <c r="A30" s="3" t="s">
        <v>22</v>
      </c>
      <c r="B30" s="4" t="s">
        <v>112</v>
      </c>
      <c r="C30" s="4"/>
      <c r="D30" s="4"/>
      <c r="E30" s="4"/>
    </row>
    <row r="31" spans="1:5" x14ac:dyDescent="0.25">
      <c r="A31" s="2">
        <v>2</v>
      </c>
      <c r="B31" s="14" t="s">
        <v>502</v>
      </c>
      <c r="C31" s="4"/>
      <c r="D31" s="4"/>
      <c r="E31" s="4"/>
    </row>
    <row r="32" spans="1:5" x14ac:dyDescent="0.25">
      <c r="A32" s="3" t="s">
        <v>22</v>
      </c>
      <c r="B32" s="4" t="s">
        <v>489</v>
      </c>
      <c r="C32" s="4"/>
      <c r="D32" s="4"/>
      <c r="E32" s="4"/>
    </row>
    <row r="33" spans="1:5" x14ac:dyDescent="0.25">
      <c r="A33" s="3" t="s">
        <v>22</v>
      </c>
      <c r="B33" s="4" t="s">
        <v>490</v>
      </c>
      <c r="C33" s="4"/>
      <c r="D33" s="4"/>
      <c r="E33" s="4"/>
    </row>
    <row r="34" spans="1:5" x14ac:dyDescent="0.25">
      <c r="A34" s="3" t="s">
        <v>22</v>
      </c>
      <c r="B34" s="4" t="s">
        <v>503</v>
      </c>
      <c r="C34" s="4"/>
      <c r="D34" s="4"/>
      <c r="E34" s="4"/>
    </row>
    <row r="35" spans="1:5" x14ac:dyDescent="0.25">
      <c r="A35" s="2" t="s">
        <v>77</v>
      </c>
      <c r="B35" s="14" t="s">
        <v>504</v>
      </c>
      <c r="C35" s="4"/>
      <c r="D35" s="4"/>
      <c r="E35" s="4"/>
    </row>
    <row r="36" spans="1:5" ht="30" x14ac:dyDescent="0.25">
      <c r="A36" s="3"/>
      <c r="B36" s="5" t="s">
        <v>505</v>
      </c>
      <c r="C36" s="4"/>
      <c r="D36" s="4"/>
      <c r="E36" s="4"/>
    </row>
    <row r="37" spans="1:5" x14ac:dyDescent="0.25">
      <c r="A37" s="3">
        <v>1</v>
      </c>
      <c r="B37" s="4" t="s">
        <v>489</v>
      </c>
      <c r="C37" s="4"/>
      <c r="D37" s="4"/>
      <c r="E37" s="4"/>
    </row>
    <row r="38" spans="1:5" x14ac:dyDescent="0.25">
      <c r="A38" s="3">
        <v>2</v>
      </c>
      <c r="B38" s="4" t="s">
        <v>490</v>
      </c>
      <c r="C38" s="4"/>
      <c r="D38" s="4"/>
      <c r="E38" s="4"/>
    </row>
    <row r="39" spans="1:5" x14ac:dyDescent="0.25">
      <c r="A39" s="3">
        <v>3</v>
      </c>
      <c r="B39" s="4" t="s">
        <v>506</v>
      </c>
      <c r="C39" s="4"/>
      <c r="D39" s="4"/>
      <c r="E39" s="4"/>
    </row>
    <row r="40" spans="1:5" x14ac:dyDescent="0.25">
      <c r="A40" s="2" t="s">
        <v>101</v>
      </c>
      <c r="B40" s="14" t="s">
        <v>507</v>
      </c>
      <c r="C40" s="4"/>
      <c r="D40" s="4"/>
      <c r="E40" s="4"/>
    </row>
  </sheetData>
  <mergeCells count="4">
    <mergeCell ref="A1:E1"/>
    <mergeCell ref="A2:E2"/>
    <mergeCell ref="A3:E3"/>
    <mergeCell ref="D4:E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sheetPr>
  <dimension ref="A1:K33"/>
  <sheetViews>
    <sheetView workbookViewId="0">
      <selection activeCell="E33" sqref="E33"/>
    </sheetView>
  </sheetViews>
  <sheetFormatPr defaultColWidth="9.28515625" defaultRowHeight="15" x14ac:dyDescent="0.25"/>
  <cols>
    <col min="1" max="1" width="5.7109375" style="1" customWidth="1"/>
    <col min="2" max="2" width="29.42578125" style="1" customWidth="1"/>
    <col min="3" max="16384" width="9.28515625" style="1"/>
  </cols>
  <sheetData>
    <row r="1" spans="1:11" ht="15" customHeight="1" x14ac:dyDescent="0.25">
      <c r="A1" s="553" t="s">
        <v>0</v>
      </c>
      <c r="B1" s="553"/>
      <c r="C1" s="553"/>
      <c r="D1" s="553"/>
      <c r="E1" s="553"/>
      <c r="F1" s="553"/>
      <c r="G1" s="553"/>
      <c r="H1" s="553"/>
      <c r="I1" s="553"/>
      <c r="J1" s="553"/>
      <c r="K1" s="553"/>
    </row>
    <row r="2" spans="1:11" ht="18.75" x14ac:dyDescent="0.25">
      <c r="A2" s="554" t="s">
        <v>1</v>
      </c>
      <c r="B2" s="555"/>
      <c r="C2" s="555"/>
      <c r="D2" s="555"/>
      <c r="E2" s="555"/>
      <c r="F2" s="555"/>
      <c r="G2" s="555"/>
      <c r="H2" s="555"/>
      <c r="I2" s="555"/>
      <c r="J2" s="555"/>
      <c r="K2" s="555"/>
    </row>
    <row r="3" spans="1:11" ht="23.25" customHeight="1" x14ac:dyDescent="0.25">
      <c r="A3" s="556" t="s">
        <v>2</v>
      </c>
      <c r="B3" s="557"/>
      <c r="C3" s="557"/>
      <c r="D3" s="557"/>
      <c r="E3" s="557"/>
      <c r="F3" s="557"/>
      <c r="G3" s="557"/>
      <c r="H3" s="557"/>
      <c r="I3" s="557"/>
      <c r="J3" s="557"/>
      <c r="K3" s="557"/>
    </row>
    <row r="4" spans="1:11" x14ac:dyDescent="0.25">
      <c r="A4" s="558" t="s">
        <v>3</v>
      </c>
      <c r="B4" s="558" t="s">
        <v>4</v>
      </c>
      <c r="C4" s="558" t="s">
        <v>5</v>
      </c>
      <c r="D4" s="558" t="s">
        <v>6</v>
      </c>
      <c r="E4" s="558" t="s">
        <v>7</v>
      </c>
      <c r="F4" s="558"/>
      <c r="G4" s="558"/>
      <c r="H4" s="558"/>
      <c r="I4" s="558"/>
      <c r="J4" s="558"/>
      <c r="K4" s="558" t="s">
        <v>8</v>
      </c>
    </row>
    <row r="5" spans="1:11" ht="28.5" x14ac:dyDescent="0.25">
      <c r="A5" s="558"/>
      <c r="B5" s="558"/>
      <c r="C5" s="558"/>
      <c r="D5" s="558"/>
      <c r="E5" s="2" t="s">
        <v>9</v>
      </c>
      <c r="F5" s="2" t="s">
        <v>10</v>
      </c>
      <c r="G5" s="2" t="s">
        <v>11</v>
      </c>
      <c r="H5" s="2" t="s">
        <v>12</v>
      </c>
      <c r="I5" s="2" t="s">
        <v>13</v>
      </c>
      <c r="J5" s="2" t="s">
        <v>14</v>
      </c>
      <c r="K5" s="558"/>
    </row>
    <row r="6" spans="1:11" x14ac:dyDescent="0.25">
      <c r="A6" s="2" t="s">
        <v>15</v>
      </c>
      <c r="B6" s="2" t="s">
        <v>16</v>
      </c>
      <c r="C6" s="2">
        <v>1</v>
      </c>
      <c r="D6" s="2">
        <v>2</v>
      </c>
      <c r="E6" s="2">
        <v>3</v>
      </c>
      <c r="F6" s="2">
        <v>4</v>
      </c>
      <c r="G6" s="2">
        <v>5</v>
      </c>
      <c r="H6" s="2">
        <v>6</v>
      </c>
      <c r="I6" s="2">
        <v>7</v>
      </c>
      <c r="J6" s="2">
        <v>8</v>
      </c>
      <c r="K6" s="2">
        <v>9</v>
      </c>
    </row>
    <row r="7" spans="1:11" ht="30" x14ac:dyDescent="0.25">
      <c r="A7" s="3">
        <v>1</v>
      </c>
      <c r="B7" s="4" t="s">
        <v>17</v>
      </c>
      <c r="C7" s="3" t="s">
        <v>18</v>
      </c>
      <c r="D7" s="3"/>
      <c r="E7" s="3"/>
      <c r="F7" s="3"/>
      <c r="G7" s="3"/>
      <c r="H7" s="3"/>
      <c r="I7" s="3"/>
      <c r="J7" s="3"/>
      <c r="K7" s="3"/>
    </row>
    <row r="8" spans="1:11" x14ac:dyDescent="0.25">
      <c r="A8" s="3">
        <v>2</v>
      </c>
      <c r="B8" s="4" t="s">
        <v>19</v>
      </c>
      <c r="C8" s="3" t="s">
        <v>20</v>
      </c>
      <c r="D8" s="3"/>
      <c r="E8" s="3"/>
      <c r="F8" s="3"/>
      <c r="G8" s="3"/>
      <c r="H8" s="3"/>
      <c r="I8" s="3"/>
      <c r="J8" s="3"/>
      <c r="K8" s="3"/>
    </row>
    <row r="9" spans="1:11" x14ac:dyDescent="0.25">
      <c r="A9" s="3">
        <v>3</v>
      </c>
      <c r="B9" s="4" t="s">
        <v>21</v>
      </c>
      <c r="C9" s="3"/>
      <c r="D9" s="3"/>
      <c r="E9" s="3"/>
      <c r="F9" s="3"/>
      <c r="G9" s="3"/>
      <c r="H9" s="3"/>
      <c r="I9" s="3"/>
      <c r="J9" s="3"/>
      <c r="K9" s="3"/>
    </row>
    <row r="10" spans="1:11" x14ac:dyDescent="0.25">
      <c r="A10" s="3" t="s">
        <v>22</v>
      </c>
      <c r="B10" s="5" t="s">
        <v>23</v>
      </c>
      <c r="C10" s="3" t="s">
        <v>20</v>
      </c>
      <c r="D10" s="3"/>
      <c r="E10" s="3"/>
      <c r="F10" s="3"/>
      <c r="G10" s="3"/>
      <c r="H10" s="3"/>
      <c r="I10" s="3"/>
      <c r="J10" s="3"/>
      <c r="K10" s="3"/>
    </row>
    <row r="11" spans="1:11" x14ac:dyDescent="0.25">
      <c r="A11" s="3" t="s">
        <v>22</v>
      </c>
      <c r="B11" s="5" t="s">
        <v>24</v>
      </c>
      <c r="C11" s="3" t="s">
        <v>20</v>
      </c>
      <c r="D11" s="3"/>
      <c r="E11" s="3"/>
      <c r="F11" s="3"/>
      <c r="G11" s="3"/>
      <c r="H11" s="3"/>
      <c r="I11" s="3"/>
      <c r="J11" s="3"/>
      <c r="K11" s="3"/>
    </row>
    <row r="12" spans="1:11" x14ac:dyDescent="0.25">
      <c r="A12" s="3" t="s">
        <v>22</v>
      </c>
      <c r="B12" s="5" t="s">
        <v>25</v>
      </c>
      <c r="C12" s="3" t="s">
        <v>20</v>
      </c>
      <c r="D12" s="3"/>
      <c r="E12" s="3"/>
      <c r="F12" s="3"/>
      <c r="G12" s="3"/>
      <c r="H12" s="3"/>
      <c r="I12" s="3"/>
      <c r="J12" s="3"/>
      <c r="K12" s="3"/>
    </row>
    <row r="13" spans="1:11" x14ac:dyDescent="0.25">
      <c r="A13" s="3">
        <v>4</v>
      </c>
      <c r="B13" s="4" t="s">
        <v>26</v>
      </c>
      <c r="C13" s="3" t="s">
        <v>20</v>
      </c>
      <c r="D13" s="3"/>
      <c r="E13" s="3"/>
      <c r="F13" s="3"/>
      <c r="G13" s="3"/>
      <c r="H13" s="3"/>
      <c r="I13" s="3"/>
      <c r="J13" s="3"/>
      <c r="K13" s="3"/>
    </row>
    <row r="14" spans="1:11" ht="30" x14ac:dyDescent="0.25">
      <c r="A14" s="3">
        <v>5</v>
      </c>
      <c r="B14" s="4" t="s">
        <v>27</v>
      </c>
      <c r="C14" s="3" t="s">
        <v>18</v>
      </c>
      <c r="D14" s="3"/>
      <c r="E14" s="3"/>
      <c r="F14" s="3"/>
      <c r="G14" s="3"/>
      <c r="H14" s="3"/>
      <c r="I14" s="3"/>
      <c r="J14" s="3"/>
      <c r="K14" s="3"/>
    </row>
    <row r="15" spans="1:11" x14ac:dyDescent="0.25">
      <c r="A15" s="3"/>
      <c r="B15" s="5" t="s">
        <v>28</v>
      </c>
      <c r="C15" s="3" t="s">
        <v>20</v>
      </c>
      <c r="D15" s="3"/>
      <c r="E15" s="3"/>
      <c r="F15" s="3"/>
      <c r="G15" s="3"/>
      <c r="H15" s="3"/>
      <c r="I15" s="3"/>
      <c r="J15" s="3"/>
      <c r="K15" s="3"/>
    </row>
    <row r="16" spans="1:11" ht="30" x14ac:dyDescent="0.25">
      <c r="A16" s="3" t="s">
        <v>22</v>
      </c>
      <c r="B16" s="4" t="s">
        <v>29</v>
      </c>
      <c r="C16" s="3" t="s">
        <v>30</v>
      </c>
      <c r="D16" s="3"/>
      <c r="E16" s="3"/>
      <c r="F16" s="3"/>
      <c r="G16" s="3"/>
      <c r="H16" s="3"/>
      <c r="I16" s="3"/>
      <c r="J16" s="3"/>
      <c r="K16" s="3"/>
    </row>
    <row r="17" spans="1:11" ht="30" x14ac:dyDescent="0.25">
      <c r="A17" s="3" t="s">
        <v>22</v>
      </c>
      <c r="B17" s="4" t="s">
        <v>31</v>
      </c>
      <c r="C17" s="3" t="s">
        <v>18</v>
      </c>
      <c r="D17" s="3"/>
      <c r="E17" s="3"/>
      <c r="F17" s="3"/>
      <c r="G17" s="3"/>
      <c r="H17" s="3"/>
      <c r="I17" s="3"/>
      <c r="J17" s="3"/>
      <c r="K17" s="3"/>
    </row>
    <row r="18" spans="1:11" ht="30" x14ac:dyDescent="0.25">
      <c r="A18" s="3" t="s">
        <v>22</v>
      </c>
      <c r="B18" s="4" t="s">
        <v>32</v>
      </c>
      <c r="C18" s="3" t="s">
        <v>30</v>
      </c>
      <c r="D18" s="3"/>
      <c r="E18" s="3"/>
      <c r="F18" s="3"/>
      <c r="G18" s="3"/>
      <c r="H18" s="3"/>
      <c r="I18" s="3"/>
      <c r="J18" s="3"/>
      <c r="K18" s="3"/>
    </row>
    <row r="19" spans="1:11" ht="30" x14ac:dyDescent="0.25">
      <c r="A19" s="3" t="s">
        <v>22</v>
      </c>
      <c r="B19" s="4" t="s">
        <v>33</v>
      </c>
      <c r="C19" s="3" t="s">
        <v>18</v>
      </c>
      <c r="D19" s="3"/>
      <c r="E19" s="3"/>
      <c r="F19" s="3"/>
      <c r="G19" s="3"/>
      <c r="H19" s="3"/>
      <c r="I19" s="3"/>
      <c r="J19" s="3"/>
      <c r="K19" s="3"/>
    </row>
    <row r="20" spans="1:11" ht="30" x14ac:dyDescent="0.25">
      <c r="A20" s="3">
        <v>6</v>
      </c>
      <c r="B20" s="4" t="s">
        <v>34</v>
      </c>
      <c r="C20" s="3" t="s">
        <v>35</v>
      </c>
      <c r="D20" s="3"/>
      <c r="E20" s="3"/>
      <c r="F20" s="3"/>
      <c r="G20" s="3"/>
      <c r="H20" s="3"/>
      <c r="I20" s="3"/>
      <c r="J20" s="3"/>
      <c r="K20" s="3"/>
    </row>
    <row r="21" spans="1:11" x14ac:dyDescent="0.25">
      <c r="A21" s="3"/>
      <c r="B21" s="5" t="s">
        <v>36</v>
      </c>
      <c r="C21" s="3" t="s">
        <v>20</v>
      </c>
      <c r="D21" s="3"/>
      <c r="E21" s="3"/>
      <c r="F21" s="3"/>
      <c r="G21" s="3"/>
      <c r="H21" s="3"/>
      <c r="I21" s="3"/>
      <c r="J21" s="3"/>
      <c r="K21" s="3"/>
    </row>
    <row r="22" spans="1:11" ht="30" x14ac:dyDescent="0.25">
      <c r="A22" s="3">
        <v>7</v>
      </c>
      <c r="B22" s="4" t="s">
        <v>37</v>
      </c>
      <c r="C22" s="3" t="s">
        <v>38</v>
      </c>
      <c r="D22" s="3"/>
      <c r="E22" s="3"/>
      <c r="F22" s="3"/>
      <c r="G22" s="3"/>
      <c r="H22" s="3"/>
      <c r="I22" s="3"/>
      <c r="J22" s="3"/>
      <c r="K22" s="3"/>
    </row>
    <row r="23" spans="1:11" x14ac:dyDescent="0.25">
      <c r="A23" s="3"/>
      <c r="B23" s="5" t="s">
        <v>36</v>
      </c>
      <c r="C23" s="3" t="s">
        <v>20</v>
      </c>
      <c r="D23" s="3"/>
      <c r="E23" s="3"/>
      <c r="F23" s="3"/>
      <c r="G23" s="3"/>
      <c r="H23" s="3"/>
      <c r="I23" s="3"/>
      <c r="J23" s="3"/>
      <c r="K23" s="3"/>
    </row>
    <row r="24" spans="1:11" ht="30" x14ac:dyDescent="0.25">
      <c r="A24" s="3">
        <v>8</v>
      </c>
      <c r="B24" s="4" t="s">
        <v>39</v>
      </c>
      <c r="C24" s="3" t="s">
        <v>40</v>
      </c>
      <c r="D24" s="3"/>
      <c r="E24" s="3"/>
      <c r="F24" s="3"/>
      <c r="G24" s="3"/>
      <c r="H24" s="3"/>
      <c r="I24" s="3"/>
      <c r="J24" s="3"/>
      <c r="K24" s="3"/>
    </row>
    <row r="25" spans="1:11" ht="30" x14ac:dyDescent="0.25">
      <c r="A25" s="3">
        <v>9</v>
      </c>
      <c r="B25" s="4" t="s">
        <v>41</v>
      </c>
      <c r="C25" s="3" t="s">
        <v>18</v>
      </c>
      <c r="D25" s="3"/>
      <c r="E25" s="3"/>
      <c r="F25" s="3"/>
      <c r="G25" s="3"/>
      <c r="H25" s="3"/>
      <c r="I25" s="3"/>
      <c r="J25" s="3"/>
      <c r="K25" s="3"/>
    </row>
    <row r="26" spans="1:11" ht="30" x14ac:dyDescent="0.25">
      <c r="A26" s="3">
        <v>10</v>
      </c>
      <c r="B26" s="4" t="s">
        <v>42</v>
      </c>
      <c r="C26" s="3" t="s">
        <v>43</v>
      </c>
      <c r="D26" s="3"/>
      <c r="E26" s="3"/>
      <c r="F26" s="3"/>
      <c r="G26" s="3"/>
      <c r="H26" s="3"/>
      <c r="I26" s="3"/>
      <c r="J26" s="3"/>
      <c r="K26" s="3"/>
    </row>
    <row r="27" spans="1:11" x14ac:dyDescent="0.25">
      <c r="A27" s="3">
        <v>11</v>
      </c>
      <c r="B27" s="4" t="s">
        <v>44</v>
      </c>
      <c r="C27" s="3" t="s">
        <v>20</v>
      </c>
      <c r="D27" s="3"/>
      <c r="E27" s="3"/>
      <c r="F27" s="3"/>
      <c r="G27" s="3"/>
      <c r="H27" s="3"/>
      <c r="I27" s="3"/>
      <c r="J27" s="3"/>
      <c r="K27" s="3"/>
    </row>
    <row r="28" spans="1:11" x14ac:dyDescent="0.25">
      <c r="A28" s="3">
        <v>12</v>
      </c>
      <c r="B28" s="4" t="s">
        <v>45</v>
      </c>
      <c r="C28" s="3" t="s">
        <v>20</v>
      </c>
      <c r="D28" s="3"/>
      <c r="E28" s="3"/>
      <c r="F28" s="3"/>
      <c r="G28" s="3"/>
      <c r="H28" s="3"/>
      <c r="I28" s="3"/>
      <c r="J28" s="3"/>
      <c r="K28" s="3"/>
    </row>
    <row r="29" spans="1:11" x14ac:dyDescent="0.25">
      <c r="A29" s="3">
        <v>13</v>
      </c>
      <c r="B29" s="4" t="s">
        <v>46</v>
      </c>
      <c r="C29" s="3" t="s">
        <v>47</v>
      </c>
      <c r="D29" s="3"/>
      <c r="E29" s="3"/>
      <c r="F29" s="3"/>
      <c r="G29" s="3"/>
      <c r="H29" s="3"/>
      <c r="I29" s="3"/>
      <c r="J29" s="3"/>
      <c r="K29" s="3"/>
    </row>
    <row r="30" spans="1:11" ht="30" x14ac:dyDescent="0.25">
      <c r="A30" s="3">
        <v>14</v>
      </c>
      <c r="B30" s="4" t="s">
        <v>48</v>
      </c>
      <c r="C30" s="3" t="s">
        <v>20</v>
      </c>
      <c r="D30" s="3"/>
      <c r="E30" s="3"/>
      <c r="F30" s="3"/>
      <c r="G30" s="3"/>
      <c r="H30" s="3"/>
      <c r="I30" s="3"/>
      <c r="J30" s="3"/>
      <c r="K30" s="3"/>
    </row>
    <row r="31" spans="1:11" ht="30" x14ac:dyDescent="0.25">
      <c r="A31" s="3">
        <v>15</v>
      </c>
      <c r="B31" s="4" t="s">
        <v>49</v>
      </c>
      <c r="C31" s="3" t="s">
        <v>50</v>
      </c>
      <c r="D31" s="3"/>
      <c r="E31" s="3"/>
      <c r="F31" s="3"/>
      <c r="G31" s="3"/>
      <c r="H31" s="3"/>
      <c r="I31" s="3"/>
      <c r="J31" s="3"/>
      <c r="K31" s="3"/>
    </row>
    <row r="32" spans="1:11" ht="23.25" customHeight="1" x14ac:dyDescent="0.25">
      <c r="A32" s="3">
        <v>16</v>
      </c>
      <c r="B32" s="4" t="s">
        <v>51</v>
      </c>
      <c r="C32" s="3"/>
      <c r="D32" s="3"/>
      <c r="E32" s="3"/>
      <c r="F32" s="3"/>
      <c r="G32" s="3"/>
      <c r="H32" s="3"/>
      <c r="I32" s="3"/>
      <c r="J32" s="3"/>
      <c r="K32" s="3"/>
    </row>
    <row r="33" spans="1:1" x14ac:dyDescent="0.25">
      <c r="A33" s="6" t="s">
        <v>52</v>
      </c>
    </row>
  </sheetData>
  <mergeCells count="9">
    <mergeCell ref="A1:K1"/>
    <mergeCell ref="A2:K2"/>
    <mergeCell ref="A3:K3"/>
    <mergeCell ref="A4:A5"/>
    <mergeCell ref="B4:B5"/>
    <mergeCell ref="C4:C5"/>
    <mergeCell ref="D4:D5"/>
    <mergeCell ref="E4:J4"/>
    <mergeCell ref="K4:K5"/>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H40"/>
  <sheetViews>
    <sheetView workbookViewId="0">
      <selection activeCell="E15" sqref="E15"/>
    </sheetView>
  </sheetViews>
  <sheetFormatPr defaultColWidth="9.28515625" defaultRowHeight="15" x14ac:dyDescent="0.25"/>
  <cols>
    <col min="1" max="1" width="6.28515625" style="7" customWidth="1"/>
    <col min="2" max="2" width="37.28515625" style="7" customWidth="1"/>
    <col min="3" max="4" width="11" style="7" customWidth="1"/>
    <col min="5" max="6" width="12.42578125" style="7" customWidth="1"/>
    <col min="7" max="16384" width="9.28515625" style="7"/>
  </cols>
  <sheetData>
    <row r="1" spans="1:6" ht="22.5" customHeight="1" x14ac:dyDescent="0.25">
      <c r="A1" s="559" t="s">
        <v>511</v>
      </c>
      <c r="B1" s="559"/>
      <c r="C1" s="559"/>
      <c r="D1" s="559"/>
      <c r="E1" s="559"/>
      <c r="F1" s="559"/>
    </row>
    <row r="2" spans="1:6" ht="38.25" customHeight="1" x14ac:dyDescent="0.25">
      <c r="A2" s="560" t="s">
        <v>1150</v>
      </c>
      <c r="B2" s="560"/>
      <c r="C2" s="560"/>
      <c r="D2" s="560"/>
      <c r="E2" s="560"/>
      <c r="F2" s="560"/>
    </row>
    <row r="3" spans="1:6" x14ac:dyDescent="0.25">
      <c r="A3" s="560"/>
      <c r="B3" s="560"/>
      <c r="C3" s="560"/>
      <c r="D3" s="560"/>
      <c r="E3" s="560"/>
      <c r="F3" s="560"/>
    </row>
    <row r="4" spans="1:6" x14ac:dyDescent="0.25">
      <c r="B4" s="1"/>
      <c r="C4" s="1"/>
      <c r="E4" s="561" t="s">
        <v>56</v>
      </c>
      <c r="F4" s="561"/>
    </row>
    <row r="5" spans="1:6" x14ac:dyDescent="0.25">
      <c r="A5" s="558" t="s">
        <v>3</v>
      </c>
      <c r="B5" s="558" t="s">
        <v>4</v>
      </c>
      <c r="C5" s="558" t="s">
        <v>986</v>
      </c>
      <c r="D5" s="558" t="s">
        <v>987</v>
      </c>
      <c r="E5" s="558" t="s">
        <v>229</v>
      </c>
      <c r="F5" s="558"/>
    </row>
    <row r="6" spans="1:6" ht="38.25" customHeight="1" x14ac:dyDescent="0.25">
      <c r="A6" s="558"/>
      <c r="B6" s="558"/>
      <c r="C6" s="558"/>
      <c r="D6" s="558"/>
      <c r="E6" s="2" t="s">
        <v>233</v>
      </c>
      <c r="F6" s="2" t="s">
        <v>435</v>
      </c>
    </row>
    <row r="7" spans="1:6" x14ac:dyDescent="0.25">
      <c r="A7" s="2" t="s">
        <v>15</v>
      </c>
      <c r="B7" s="2" t="s">
        <v>16</v>
      </c>
      <c r="C7" s="2">
        <v>1</v>
      </c>
      <c r="D7" s="2">
        <v>2</v>
      </c>
      <c r="E7" s="2" t="s">
        <v>359</v>
      </c>
      <c r="F7" s="2" t="s">
        <v>360</v>
      </c>
    </row>
    <row r="8" spans="1:6" x14ac:dyDescent="0.25">
      <c r="A8" s="2" t="s">
        <v>15</v>
      </c>
      <c r="B8" s="14" t="s">
        <v>513</v>
      </c>
      <c r="C8" s="86"/>
      <c r="D8" s="86"/>
      <c r="E8" s="86"/>
      <c r="F8" s="86"/>
    </row>
    <row r="9" spans="1:6" x14ac:dyDescent="0.25">
      <c r="A9" s="2" t="s">
        <v>83</v>
      </c>
      <c r="B9" s="14" t="s">
        <v>300</v>
      </c>
      <c r="C9" s="86"/>
      <c r="D9" s="86"/>
      <c r="E9" s="86"/>
      <c r="F9" s="86"/>
    </row>
    <row r="10" spans="1:6" x14ac:dyDescent="0.25">
      <c r="A10" s="3">
        <v>1</v>
      </c>
      <c r="B10" s="4" t="s">
        <v>301</v>
      </c>
      <c r="C10" s="86"/>
      <c r="D10" s="86"/>
      <c r="E10" s="86"/>
      <c r="F10" s="149"/>
    </row>
    <row r="11" spans="1:6" x14ac:dyDescent="0.25">
      <c r="A11" s="3">
        <v>2</v>
      </c>
      <c r="B11" s="4" t="s">
        <v>302</v>
      </c>
      <c r="C11" s="86"/>
      <c r="D11" s="86"/>
      <c r="E11" s="86"/>
      <c r="F11" s="149"/>
    </row>
    <row r="12" spans="1:6" x14ac:dyDescent="0.25">
      <c r="A12" s="3" t="s">
        <v>22</v>
      </c>
      <c r="B12" s="4" t="s">
        <v>240</v>
      </c>
      <c r="C12" s="86"/>
      <c r="D12" s="86"/>
      <c r="E12" s="86"/>
      <c r="F12" s="149"/>
    </row>
    <row r="13" spans="1:6" x14ac:dyDescent="0.25">
      <c r="A13" s="3" t="s">
        <v>22</v>
      </c>
      <c r="B13" s="4" t="s">
        <v>88</v>
      </c>
      <c r="C13" s="86"/>
      <c r="D13" s="86"/>
      <c r="E13" s="86"/>
      <c r="F13" s="149"/>
    </row>
    <row r="14" spans="1:6" x14ac:dyDescent="0.25">
      <c r="A14" s="3">
        <v>3</v>
      </c>
      <c r="B14" s="4" t="s">
        <v>514</v>
      </c>
      <c r="C14" s="86"/>
      <c r="D14" s="86"/>
      <c r="E14" s="86"/>
      <c r="F14" s="86"/>
    </row>
    <row r="15" spans="1:6" x14ac:dyDescent="0.25">
      <c r="A15" s="3">
        <v>4</v>
      </c>
      <c r="B15" s="4" t="s">
        <v>242</v>
      </c>
      <c r="C15" s="86"/>
      <c r="D15" s="86"/>
      <c r="E15" s="86"/>
      <c r="F15" s="86"/>
    </row>
    <row r="16" spans="1:6" ht="30" x14ac:dyDescent="0.25">
      <c r="A16" s="3">
        <v>5</v>
      </c>
      <c r="B16" s="4" t="s">
        <v>243</v>
      </c>
      <c r="C16" s="86"/>
      <c r="D16" s="86"/>
      <c r="E16" s="86"/>
      <c r="F16" s="86"/>
    </row>
    <row r="17" spans="1:8" x14ac:dyDescent="0.25">
      <c r="A17" s="2" t="s">
        <v>70</v>
      </c>
      <c r="B17" s="14" t="s">
        <v>311</v>
      </c>
      <c r="C17" s="86"/>
      <c r="D17" s="86"/>
      <c r="E17" s="86"/>
      <c r="F17" s="86"/>
    </row>
    <row r="18" spans="1:8" ht="30" x14ac:dyDescent="0.25">
      <c r="A18" s="3">
        <v>1</v>
      </c>
      <c r="B18" s="4" t="s">
        <v>1151</v>
      </c>
      <c r="C18" s="86"/>
      <c r="D18" s="86"/>
      <c r="E18" s="86"/>
      <c r="F18" s="149"/>
    </row>
    <row r="19" spans="1:8" x14ac:dyDescent="0.25">
      <c r="A19" s="3">
        <v>2</v>
      </c>
      <c r="B19" s="4" t="s">
        <v>313</v>
      </c>
      <c r="C19" s="86"/>
      <c r="D19" s="86"/>
      <c r="E19" s="86"/>
      <c r="F19" s="149"/>
    </row>
    <row r="20" spans="1:8" x14ac:dyDescent="0.25">
      <c r="A20" s="3" t="s">
        <v>22</v>
      </c>
      <c r="B20" s="4" t="s">
        <v>307</v>
      </c>
      <c r="C20" s="86"/>
      <c r="D20" s="86"/>
      <c r="E20" s="86"/>
      <c r="F20" s="149"/>
    </row>
    <row r="21" spans="1:8" x14ac:dyDescent="0.25">
      <c r="A21" s="3" t="s">
        <v>22</v>
      </c>
      <c r="B21" s="4" t="s">
        <v>308</v>
      </c>
      <c r="C21" s="86"/>
      <c r="D21" s="86"/>
      <c r="E21" s="86"/>
      <c r="F21" s="149"/>
    </row>
    <row r="22" spans="1:8" x14ac:dyDescent="0.25">
      <c r="A22" s="3">
        <v>3</v>
      </c>
      <c r="B22" s="4" t="s">
        <v>251</v>
      </c>
      <c r="C22" s="86"/>
      <c r="D22" s="86"/>
      <c r="E22" s="86"/>
      <c r="F22" s="86"/>
    </row>
    <row r="23" spans="1:8" x14ac:dyDescent="0.25">
      <c r="A23" s="2" t="s">
        <v>73</v>
      </c>
      <c r="B23" s="14" t="s">
        <v>309</v>
      </c>
      <c r="C23" s="86"/>
      <c r="D23" s="86"/>
      <c r="E23" s="86"/>
      <c r="F23" s="86"/>
    </row>
    <row r="24" spans="1:8" x14ac:dyDescent="0.25">
      <c r="A24" s="2" t="s">
        <v>16</v>
      </c>
      <c r="B24" s="14" t="s">
        <v>516</v>
      </c>
      <c r="C24" s="86"/>
      <c r="D24" s="86"/>
      <c r="E24" s="86"/>
      <c r="F24" s="86"/>
    </row>
    <row r="25" spans="1:8" x14ac:dyDescent="0.25">
      <c r="A25" s="2" t="s">
        <v>83</v>
      </c>
      <c r="B25" s="14" t="s">
        <v>300</v>
      </c>
      <c r="C25" s="86">
        <f>C26+C27+C30+C31</f>
        <v>765099</v>
      </c>
      <c r="D25" s="86">
        <f>D26+D27+D30+D31</f>
        <v>771554.75</v>
      </c>
      <c r="E25" s="86"/>
      <c r="F25" s="86"/>
    </row>
    <row r="26" spans="1:8" x14ac:dyDescent="0.25">
      <c r="A26" s="3">
        <v>1</v>
      </c>
      <c r="B26" s="4" t="s">
        <v>301</v>
      </c>
      <c r="C26" s="86">
        <v>56845</v>
      </c>
      <c r="D26" s="86">
        <f>(58298+3385)-4085*85%</f>
        <v>58210.75</v>
      </c>
      <c r="E26" s="86">
        <f>D26-C26</f>
        <v>1365.75</v>
      </c>
      <c r="F26" s="149">
        <f>D26/C26*100</f>
        <v>102.40258597941772</v>
      </c>
      <c r="G26" s="150">
        <f>768254-C25</f>
        <v>3155</v>
      </c>
      <c r="H26" s="7">
        <f>88</f>
        <v>88</v>
      </c>
    </row>
    <row r="27" spans="1:8" x14ac:dyDescent="0.25">
      <c r="A27" s="3">
        <v>2</v>
      </c>
      <c r="B27" s="4" t="s">
        <v>302</v>
      </c>
      <c r="C27" s="86">
        <f>C28+C29</f>
        <v>603344</v>
      </c>
      <c r="D27" s="86">
        <f>D28+D29</f>
        <v>603344</v>
      </c>
      <c r="E27" s="86">
        <f>D27-C27</f>
        <v>0</v>
      </c>
      <c r="F27" s="149">
        <f>D27/C27*100</f>
        <v>100</v>
      </c>
    </row>
    <row r="28" spans="1:8" x14ac:dyDescent="0.25">
      <c r="A28" s="3" t="s">
        <v>22</v>
      </c>
      <c r="B28" s="4" t="s">
        <v>240</v>
      </c>
      <c r="C28" s="86">
        <v>467351</v>
      </c>
      <c r="D28" s="86">
        <f>C28</f>
        <v>467351</v>
      </c>
      <c r="E28" s="86">
        <f>D28-C28</f>
        <v>0</v>
      </c>
      <c r="F28" s="149">
        <f>D28/C28*100</f>
        <v>100</v>
      </c>
    </row>
    <row r="29" spans="1:8" x14ac:dyDescent="0.25">
      <c r="A29" s="3" t="s">
        <v>22</v>
      </c>
      <c r="B29" s="4" t="s">
        <v>88</v>
      </c>
      <c r="C29" s="86">
        <v>135993</v>
      </c>
      <c r="D29" s="86">
        <f>C29</f>
        <v>135993</v>
      </c>
      <c r="E29" s="86">
        <f>D29-C29</f>
        <v>0</v>
      </c>
      <c r="F29" s="149">
        <f>D29/C29*100</f>
        <v>100</v>
      </c>
    </row>
    <row r="30" spans="1:8" x14ac:dyDescent="0.25">
      <c r="A30" s="3">
        <v>3</v>
      </c>
      <c r="B30" s="4" t="s">
        <v>303</v>
      </c>
      <c r="C30" s="86">
        <v>61043</v>
      </c>
      <c r="D30" s="86">
        <v>65000</v>
      </c>
      <c r="E30" s="86"/>
      <c r="F30" s="86"/>
    </row>
    <row r="31" spans="1:8" ht="30" x14ac:dyDescent="0.25">
      <c r="A31" s="3">
        <v>4</v>
      </c>
      <c r="B31" s="4" t="s">
        <v>243</v>
      </c>
      <c r="C31" s="86">
        <v>43867</v>
      </c>
      <c r="D31" s="86">
        <v>45000</v>
      </c>
      <c r="E31" s="86"/>
      <c r="F31" s="86"/>
    </row>
    <row r="32" spans="1:8" x14ac:dyDescent="0.25">
      <c r="A32" s="2" t="s">
        <v>70</v>
      </c>
      <c r="B32" s="14" t="s">
        <v>311</v>
      </c>
      <c r="C32" s="86">
        <f>C33+C34</f>
        <v>635296</v>
      </c>
      <c r="D32" s="86">
        <f>D33+D34</f>
        <v>777850</v>
      </c>
      <c r="E32" s="86"/>
      <c r="F32" s="86"/>
    </row>
    <row r="33" spans="1:6" ht="30" x14ac:dyDescent="0.25">
      <c r="A33" s="3">
        <v>1</v>
      </c>
      <c r="B33" s="4" t="s">
        <v>517</v>
      </c>
      <c r="C33" s="86">
        <v>556383</v>
      </c>
      <c r="D33" s="86">
        <v>660010</v>
      </c>
      <c r="E33" s="86">
        <f>D33-C33</f>
        <v>103627</v>
      </c>
      <c r="F33" s="149">
        <f>D33/C33*100</f>
        <v>118.62511974664933</v>
      </c>
    </row>
    <row r="34" spans="1:6" x14ac:dyDescent="0.25">
      <c r="A34" s="3">
        <v>2</v>
      </c>
      <c r="B34" s="4" t="s">
        <v>518</v>
      </c>
      <c r="C34" s="86">
        <f>C35+C36</f>
        <v>78913</v>
      </c>
      <c r="D34" s="86">
        <f>D35+D36</f>
        <v>117840</v>
      </c>
      <c r="E34" s="86">
        <f>D34-C34</f>
        <v>38927</v>
      </c>
      <c r="F34" s="149">
        <f>D34/C34*100</f>
        <v>149.3290078947702</v>
      </c>
    </row>
    <row r="35" spans="1:6" x14ac:dyDescent="0.25">
      <c r="A35" s="3" t="s">
        <v>22</v>
      </c>
      <c r="B35" s="4" t="s">
        <v>307</v>
      </c>
      <c r="C35" s="86">
        <v>62873</v>
      </c>
      <c r="D35" s="86">
        <v>62873</v>
      </c>
      <c r="E35" s="86">
        <f>D35-C35</f>
        <v>0</v>
      </c>
      <c r="F35" s="149">
        <f>D35/C35*100</f>
        <v>100</v>
      </c>
    </row>
    <row r="36" spans="1:6" x14ac:dyDescent="0.25">
      <c r="A36" s="3" t="s">
        <v>22</v>
      </c>
      <c r="B36" s="4" t="s">
        <v>308</v>
      </c>
      <c r="C36" s="86">
        <v>16040</v>
      </c>
      <c r="D36" s="86">
        <v>54967</v>
      </c>
      <c r="E36" s="86">
        <f>D36-C36</f>
        <v>38927</v>
      </c>
      <c r="F36" s="149">
        <f>D36/C36*100</f>
        <v>342.68703241895258</v>
      </c>
    </row>
    <row r="37" spans="1:6" x14ac:dyDescent="0.25">
      <c r="A37" s="3">
        <v>3</v>
      </c>
      <c r="B37" s="4" t="s">
        <v>251</v>
      </c>
      <c r="C37" s="86"/>
      <c r="D37" s="86"/>
      <c r="E37" s="86"/>
      <c r="F37" s="86"/>
    </row>
    <row r="38" spans="1:6" ht="24.75" customHeight="1" x14ac:dyDescent="0.25">
      <c r="A38" s="15" t="s">
        <v>288</v>
      </c>
      <c r="B38" s="1"/>
      <c r="C38" s="1"/>
      <c r="D38" s="1"/>
      <c r="E38" s="1"/>
      <c r="F38" s="1"/>
    </row>
    <row r="39" spans="1:6" ht="42" customHeight="1" x14ac:dyDescent="0.25">
      <c r="A39" s="562" t="s">
        <v>520</v>
      </c>
      <c r="B39" s="562"/>
      <c r="C39" s="562"/>
      <c r="D39" s="562"/>
      <c r="E39" s="562"/>
      <c r="F39" s="562"/>
    </row>
    <row r="40" spans="1:6" x14ac:dyDescent="0.25">
      <c r="A40" s="562" t="s">
        <v>519</v>
      </c>
      <c r="B40" s="562"/>
      <c r="C40" s="562"/>
      <c r="D40" s="562"/>
      <c r="E40" s="562"/>
      <c r="F40" s="562"/>
    </row>
  </sheetData>
  <mergeCells count="11">
    <mergeCell ref="A40:F40"/>
    <mergeCell ref="A5:A6"/>
    <mergeCell ref="B5:B6"/>
    <mergeCell ref="C5:C6"/>
    <mergeCell ref="D5:D6"/>
    <mergeCell ref="E5:F5"/>
    <mergeCell ref="A1:F1"/>
    <mergeCell ref="A2:F2"/>
    <mergeCell ref="A3:F3"/>
    <mergeCell ref="E4:F4"/>
    <mergeCell ref="A39:F3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N31"/>
  <sheetViews>
    <sheetView workbookViewId="0">
      <selection activeCell="J8" sqref="J8:J15"/>
    </sheetView>
  </sheetViews>
  <sheetFormatPr defaultColWidth="6" defaultRowHeight="15" x14ac:dyDescent="0.25"/>
  <cols>
    <col min="1" max="1" width="6" style="1"/>
    <col min="2" max="2" width="24.7109375" style="1" bestFit="1" customWidth="1"/>
    <col min="3" max="3" width="9.5703125" style="1" customWidth="1"/>
    <col min="4" max="4" width="9.5703125" style="1" bestFit="1" customWidth="1"/>
    <col min="5" max="6" width="7.5703125" style="1" customWidth="1"/>
    <col min="7" max="8" width="9.5703125" style="1" bestFit="1" customWidth="1"/>
    <col min="9" max="14" width="7.5703125" style="1" customWidth="1"/>
    <col min="15" max="16384" width="6" style="1"/>
  </cols>
  <sheetData>
    <row r="1" spans="1:14" x14ac:dyDescent="0.25">
      <c r="A1" s="559" t="s">
        <v>328</v>
      </c>
      <c r="B1" s="559"/>
      <c r="C1" s="559"/>
      <c r="D1" s="559"/>
      <c r="E1" s="559"/>
      <c r="F1" s="559"/>
      <c r="G1" s="559"/>
      <c r="H1" s="559"/>
      <c r="I1" s="559"/>
      <c r="J1" s="559"/>
      <c r="K1" s="559"/>
      <c r="L1" s="559"/>
      <c r="M1" s="559"/>
      <c r="N1" s="559"/>
    </row>
    <row r="2" spans="1:14" x14ac:dyDescent="0.25">
      <c r="A2" s="560" t="s">
        <v>1337</v>
      </c>
      <c r="B2" s="560"/>
      <c r="C2" s="560"/>
      <c r="D2" s="560"/>
      <c r="E2" s="560"/>
      <c r="F2" s="560"/>
      <c r="G2" s="560"/>
      <c r="H2" s="560"/>
      <c r="I2" s="560"/>
      <c r="J2" s="560"/>
      <c r="K2" s="560"/>
      <c r="L2" s="560"/>
      <c r="M2" s="560"/>
      <c r="N2" s="560"/>
    </row>
    <row r="3" spans="1:14" ht="15.75" x14ac:dyDescent="0.25">
      <c r="A3" s="579" t="s">
        <v>1352</v>
      </c>
      <c r="B3" s="579"/>
      <c r="C3" s="579"/>
      <c r="D3" s="579"/>
      <c r="E3" s="579"/>
      <c r="F3" s="579"/>
      <c r="G3" s="579"/>
      <c r="H3" s="579"/>
      <c r="I3" s="579"/>
      <c r="J3" s="579"/>
      <c r="K3" s="579"/>
      <c r="L3" s="579"/>
      <c r="M3" s="579"/>
      <c r="N3" s="579"/>
    </row>
    <row r="4" spans="1:14" ht="15.75" hidden="1" x14ac:dyDescent="0.25">
      <c r="A4" s="579" t="s">
        <v>1335</v>
      </c>
      <c r="B4" s="579"/>
      <c r="C4" s="579"/>
      <c r="D4" s="579"/>
      <c r="E4" s="579"/>
      <c r="F4" s="579"/>
      <c r="G4" s="579"/>
      <c r="H4" s="579"/>
      <c r="I4" s="579"/>
      <c r="J4" s="579"/>
      <c r="K4" s="579"/>
      <c r="L4" s="579"/>
      <c r="M4" s="579"/>
      <c r="N4" s="579"/>
    </row>
    <row r="5" spans="1:14" ht="15" hidden="1" customHeight="1" x14ac:dyDescent="0.25">
      <c r="A5" s="579" t="s">
        <v>1335</v>
      </c>
      <c r="B5" s="579"/>
      <c r="C5" s="579"/>
      <c r="D5" s="579"/>
      <c r="E5" s="579"/>
      <c r="F5" s="579"/>
      <c r="G5" s="579"/>
      <c r="H5" s="579"/>
      <c r="I5" s="579"/>
      <c r="J5" s="579"/>
      <c r="K5" s="579"/>
      <c r="L5" s="579"/>
      <c r="M5" s="579"/>
      <c r="N5" s="579"/>
    </row>
    <row r="6" spans="1:14" x14ac:dyDescent="0.25">
      <c r="L6" s="561" t="s">
        <v>56</v>
      </c>
      <c r="M6" s="561"/>
      <c r="N6" s="561"/>
    </row>
    <row r="7" spans="1:14" x14ac:dyDescent="0.25">
      <c r="A7" s="558" t="s">
        <v>3</v>
      </c>
      <c r="B7" s="558" t="s">
        <v>522</v>
      </c>
      <c r="C7" s="558" t="s">
        <v>1338</v>
      </c>
      <c r="D7" s="558"/>
      <c r="E7" s="558"/>
      <c r="F7" s="558"/>
      <c r="G7" s="558" t="s">
        <v>1339</v>
      </c>
      <c r="H7" s="558"/>
      <c r="I7" s="558"/>
      <c r="J7" s="558"/>
      <c r="K7" s="558" t="s">
        <v>374</v>
      </c>
      <c r="L7" s="558"/>
      <c r="M7" s="558"/>
      <c r="N7" s="558"/>
    </row>
    <row r="8" spans="1:14" x14ac:dyDescent="0.25">
      <c r="A8" s="558"/>
      <c r="B8" s="558"/>
      <c r="C8" s="558" t="s">
        <v>130</v>
      </c>
      <c r="D8" s="558" t="s">
        <v>523</v>
      </c>
      <c r="E8" s="558"/>
      <c r="F8" s="558"/>
      <c r="G8" s="558" t="s">
        <v>524</v>
      </c>
      <c r="H8" s="558" t="s">
        <v>523</v>
      </c>
      <c r="I8" s="558"/>
      <c r="J8" s="558"/>
      <c r="K8" s="558" t="s">
        <v>130</v>
      </c>
      <c r="L8" s="558" t="s">
        <v>523</v>
      </c>
      <c r="M8" s="558"/>
      <c r="N8" s="558"/>
    </row>
    <row r="9" spans="1:14" ht="86.25" customHeight="1" x14ac:dyDescent="0.25">
      <c r="A9" s="558"/>
      <c r="B9" s="558"/>
      <c r="C9" s="558"/>
      <c r="D9" s="2" t="s">
        <v>65</v>
      </c>
      <c r="E9" s="2" t="s">
        <v>285</v>
      </c>
      <c r="F9" s="2" t="s">
        <v>525</v>
      </c>
      <c r="G9" s="558"/>
      <c r="H9" s="2" t="s">
        <v>65</v>
      </c>
      <c r="I9" s="2" t="s">
        <v>285</v>
      </c>
      <c r="J9" s="2" t="s">
        <v>525</v>
      </c>
      <c r="K9" s="558"/>
      <c r="L9" s="2" t="s">
        <v>65</v>
      </c>
      <c r="M9" s="2" t="s">
        <v>526</v>
      </c>
      <c r="N9" s="2" t="s">
        <v>525</v>
      </c>
    </row>
    <row r="10" spans="1:14" x14ac:dyDescent="0.25">
      <c r="A10" s="3" t="s">
        <v>15</v>
      </c>
      <c r="B10" s="3" t="s">
        <v>16</v>
      </c>
      <c r="C10" s="3">
        <v>1</v>
      </c>
      <c r="D10" s="3">
        <v>2</v>
      </c>
      <c r="E10" s="3">
        <v>3</v>
      </c>
      <c r="F10" s="3">
        <v>4</v>
      </c>
      <c r="G10" s="3">
        <v>5</v>
      </c>
      <c r="H10" s="3">
        <v>6</v>
      </c>
      <c r="I10" s="3">
        <v>7</v>
      </c>
      <c r="J10" s="3">
        <v>8</v>
      </c>
      <c r="K10" s="3" t="s">
        <v>527</v>
      </c>
      <c r="L10" s="3" t="s">
        <v>528</v>
      </c>
      <c r="M10" s="3" t="s">
        <v>529</v>
      </c>
      <c r="N10" s="3" t="s">
        <v>530</v>
      </c>
    </row>
    <row r="11" spans="1:14" x14ac:dyDescent="0.25">
      <c r="A11" s="3"/>
      <c r="B11" s="14" t="s">
        <v>531</v>
      </c>
      <c r="C11" s="89">
        <f t="shared" ref="C11:J11" si="0">SUM(C12:C27)</f>
        <v>71350</v>
      </c>
      <c r="D11" s="89">
        <f t="shared" si="0"/>
        <v>71350</v>
      </c>
      <c r="E11" s="89">
        <f t="shared" si="0"/>
        <v>0</v>
      </c>
      <c r="F11" s="89">
        <f t="shared" si="0"/>
        <v>0</v>
      </c>
      <c r="G11" s="89">
        <f t="shared" si="0"/>
        <v>71350</v>
      </c>
      <c r="H11" s="89">
        <f t="shared" si="0"/>
        <v>71350</v>
      </c>
      <c r="I11" s="89">
        <f t="shared" si="0"/>
        <v>0</v>
      </c>
      <c r="J11" s="89">
        <f t="shared" si="0"/>
        <v>0</v>
      </c>
      <c r="K11" s="14">
        <f>G11/C11*100</f>
        <v>100</v>
      </c>
      <c r="L11" s="14">
        <f>H11/D11*100</f>
        <v>100</v>
      </c>
      <c r="M11" s="14"/>
      <c r="N11" s="14"/>
    </row>
    <row r="12" spans="1:14" ht="15.75" x14ac:dyDescent="0.25">
      <c r="A12" s="3">
        <v>1</v>
      </c>
      <c r="B12" s="62" t="s">
        <v>1152</v>
      </c>
      <c r="C12" s="87">
        <f>D12</f>
        <v>43170</v>
      </c>
      <c r="D12" s="87">
        <f>2210+16560+22400+2000</f>
        <v>43170</v>
      </c>
      <c r="E12" s="87"/>
      <c r="F12" s="87"/>
      <c r="G12" s="87">
        <f>H12</f>
        <v>43170</v>
      </c>
      <c r="H12" s="87">
        <f>2210+16560+22400+2000</f>
        <v>43170</v>
      </c>
      <c r="I12" s="87"/>
      <c r="J12" s="87"/>
      <c r="K12" s="4">
        <f>G12/C12*100</f>
        <v>100</v>
      </c>
      <c r="L12" s="4">
        <f>H12/D12*100</f>
        <v>100</v>
      </c>
      <c r="M12" s="4"/>
      <c r="N12" s="4"/>
    </row>
    <row r="13" spans="1:14" ht="15.75" x14ac:dyDescent="0.25">
      <c r="A13" s="3">
        <v>2</v>
      </c>
      <c r="B13" s="62" t="s">
        <v>992</v>
      </c>
      <c r="C13" s="87">
        <f t="shared" ref="C13:C27" si="1">D13</f>
        <v>3830</v>
      </c>
      <c r="D13" s="87">
        <v>3830</v>
      </c>
      <c r="E13" s="87"/>
      <c r="F13" s="87"/>
      <c r="G13" s="87">
        <f t="shared" ref="G13:G27" si="2">H13</f>
        <v>3830</v>
      </c>
      <c r="H13" s="87">
        <v>3830</v>
      </c>
      <c r="I13" s="87"/>
      <c r="J13" s="87"/>
      <c r="K13" s="4">
        <f t="shared" ref="K13:K27" si="3">G13/C13*100</f>
        <v>100</v>
      </c>
      <c r="L13" s="4">
        <f t="shared" ref="L13:L27" si="4">H13/D13*100</f>
        <v>100</v>
      </c>
      <c r="M13" s="4"/>
      <c r="N13" s="4"/>
    </row>
    <row r="14" spans="1:14" ht="15.75" x14ac:dyDescent="0.25">
      <c r="A14" s="3">
        <v>3</v>
      </c>
      <c r="B14" s="62" t="s">
        <v>993</v>
      </c>
      <c r="C14" s="87">
        <f t="shared" si="1"/>
        <v>3025</v>
      </c>
      <c r="D14" s="87">
        <v>3025</v>
      </c>
      <c r="E14" s="87"/>
      <c r="F14" s="87"/>
      <c r="G14" s="87">
        <f t="shared" si="2"/>
        <v>3025</v>
      </c>
      <c r="H14" s="87">
        <v>3025</v>
      </c>
      <c r="I14" s="87"/>
      <c r="J14" s="87"/>
      <c r="K14" s="4">
        <f t="shared" si="3"/>
        <v>100</v>
      </c>
      <c r="L14" s="4">
        <f t="shared" si="4"/>
        <v>100</v>
      </c>
      <c r="M14" s="4"/>
      <c r="N14" s="4"/>
    </row>
    <row r="15" spans="1:14" ht="15.75" x14ac:dyDescent="0.25">
      <c r="A15" s="3">
        <v>4</v>
      </c>
      <c r="B15" s="62" t="s">
        <v>994</v>
      </c>
      <c r="C15" s="87">
        <f t="shared" si="1"/>
        <v>3740</v>
      </c>
      <c r="D15" s="87">
        <v>3740</v>
      </c>
      <c r="E15" s="87"/>
      <c r="F15" s="87"/>
      <c r="G15" s="87">
        <f t="shared" si="2"/>
        <v>3740</v>
      </c>
      <c r="H15" s="87">
        <v>3740</v>
      </c>
      <c r="I15" s="87"/>
      <c r="J15" s="87"/>
      <c r="K15" s="4">
        <f t="shared" si="3"/>
        <v>100</v>
      </c>
      <c r="L15" s="4">
        <f t="shared" si="4"/>
        <v>100</v>
      </c>
      <c r="M15" s="4"/>
      <c r="N15" s="4"/>
    </row>
    <row r="16" spans="1:14" ht="15.75" x14ac:dyDescent="0.25">
      <c r="A16" s="3">
        <v>5</v>
      </c>
      <c r="B16" s="62" t="s">
        <v>995</v>
      </c>
      <c r="C16" s="87">
        <f t="shared" si="1"/>
        <v>3020</v>
      </c>
      <c r="D16" s="87">
        <v>3020</v>
      </c>
      <c r="E16" s="87"/>
      <c r="F16" s="87"/>
      <c r="G16" s="87">
        <f t="shared" si="2"/>
        <v>3020</v>
      </c>
      <c r="H16" s="87">
        <v>3020</v>
      </c>
      <c r="I16" s="87"/>
      <c r="J16" s="87"/>
      <c r="K16" s="4">
        <f t="shared" si="3"/>
        <v>100</v>
      </c>
      <c r="L16" s="4">
        <f t="shared" si="4"/>
        <v>100</v>
      </c>
      <c r="M16" s="4"/>
      <c r="N16" s="4"/>
    </row>
    <row r="17" spans="1:14" ht="15.75" x14ac:dyDescent="0.25">
      <c r="A17" s="3">
        <v>6</v>
      </c>
      <c r="B17" s="62" t="s">
        <v>996</v>
      </c>
      <c r="C17" s="87">
        <f t="shared" si="1"/>
        <v>2665</v>
      </c>
      <c r="D17" s="87">
        <v>2665</v>
      </c>
      <c r="E17" s="87"/>
      <c r="F17" s="87"/>
      <c r="G17" s="87">
        <f t="shared" si="2"/>
        <v>2665</v>
      </c>
      <c r="H17" s="87">
        <v>2665</v>
      </c>
      <c r="I17" s="87"/>
      <c r="J17" s="87"/>
      <c r="K17" s="4">
        <f t="shared" si="3"/>
        <v>100</v>
      </c>
      <c r="L17" s="4">
        <f t="shared" si="4"/>
        <v>100</v>
      </c>
      <c r="M17" s="4"/>
      <c r="N17" s="4"/>
    </row>
    <row r="18" spans="1:14" ht="15.75" x14ac:dyDescent="0.25">
      <c r="A18" s="3">
        <v>7</v>
      </c>
      <c r="B18" s="62" t="s">
        <v>997</v>
      </c>
      <c r="C18" s="87">
        <f t="shared" si="1"/>
        <v>1980</v>
      </c>
      <c r="D18" s="87">
        <v>1980</v>
      </c>
      <c r="E18" s="87"/>
      <c r="F18" s="87"/>
      <c r="G18" s="87">
        <f t="shared" si="2"/>
        <v>1980</v>
      </c>
      <c r="H18" s="87">
        <v>1980</v>
      </c>
      <c r="I18" s="87"/>
      <c r="J18" s="87"/>
      <c r="K18" s="4">
        <f t="shared" si="3"/>
        <v>100</v>
      </c>
      <c r="L18" s="4">
        <f t="shared" si="4"/>
        <v>100</v>
      </c>
      <c r="M18" s="4"/>
      <c r="N18" s="4"/>
    </row>
    <row r="19" spans="1:14" ht="15.75" x14ac:dyDescent="0.25">
      <c r="A19" s="3">
        <v>8</v>
      </c>
      <c r="B19" s="62" t="s">
        <v>998</v>
      </c>
      <c r="C19" s="87">
        <f t="shared" si="1"/>
        <v>225</v>
      </c>
      <c r="D19" s="87">
        <v>225</v>
      </c>
      <c r="E19" s="87"/>
      <c r="F19" s="87"/>
      <c r="G19" s="87">
        <f t="shared" si="2"/>
        <v>225</v>
      </c>
      <c r="H19" s="87">
        <v>225</v>
      </c>
      <c r="I19" s="87"/>
      <c r="J19" s="87"/>
      <c r="K19" s="4">
        <f t="shared" si="3"/>
        <v>100</v>
      </c>
      <c r="L19" s="4">
        <f t="shared" si="4"/>
        <v>100</v>
      </c>
      <c r="M19" s="4"/>
      <c r="N19" s="4"/>
    </row>
    <row r="20" spans="1:14" ht="15.75" x14ac:dyDescent="0.25">
      <c r="A20" s="3">
        <v>9</v>
      </c>
      <c r="B20" s="62" t="s">
        <v>999</v>
      </c>
      <c r="C20" s="87">
        <f t="shared" si="1"/>
        <v>1070</v>
      </c>
      <c r="D20" s="87">
        <v>1070</v>
      </c>
      <c r="E20" s="87"/>
      <c r="F20" s="87"/>
      <c r="G20" s="87">
        <f t="shared" si="2"/>
        <v>1070</v>
      </c>
      <c r="H20" s="87">
        <v>1070</v>
      </c>
      <c r="I20" s="87"/>
      <c r="J20" s="87"/>
      <c r="K20" s="4">
        <f t="shared" si="3"/>
        <v>100</v>
      </c>
      <c r="L20" s="4">
        <f t="shared" si="4"/>
        <v>100</v>
      </c>
      <c r="M20" s="4"/>
      <c r="N20" s="4"/>
    </row>
    <row r="21" spans="1:14" ht="15.75" x14ac:dyDescent="0.25">
      <c r="A21" s="3">
        <v>10</v>
      </c>
      <c r="B21" s="62" t="s">
        <v>1000</v>
      </c>
      <c r="C21" s="87">
        <f t="shared" si="1"/>
        <v>1450</v>
      </c>
      <c r="D21" s="87">
        <v>1450</v>
      </c>
      <c r="E21" s="87"/>
      <c r="F21" s="87"/>
      <c r="G21" s="87">
        <f t="shared" si="2"/>
        <v>1450</v>
      </c>
      <c r="H21" s="87">
        <v>1450</v>
      </c>
      <c r="I21" s="87"/>
      <c r="J21" s="87"/>
      <c r="K21" s="4">
        <f t="shared" si="3"/>
        <v>100</v>
      </c>
      <c r="L21" s="4">
        <f t="shared" si="4"/>
        <v>100</v>
      </c>
      <c r="M21" s="4"/>
      <c r="N21" s="4"/>
    </row>
    <row r="22" spans="1:14" ht="15.75" x14ac:dyDescent="0.25">
      <c r="A22" s="3">
        <v>11</v>
      </c>
      <c r="B22" s="62" t="s">
        <v>1284</v>
      </c>
      <c r="C22" s="87">
        <f t="shared" si="1"/>
        <v>690</v>
      </c>
      <c r="D22" s="87">
        <v>690</v>
      </c>
      <c r="E22" s="87"/>
      <c r="F22" s="87"/>
      <c r="G22" s="87">
        <f t="shared" si="2"/>
        <v>690</v>
      </c>
      <c r="H22" s="87">
        <v>690</v>
      </c>
      <c r="I22" s="87"/>
      <c r="J22" s="87"/>
      <c r="K22" s="4">
        <f t="shared" si="3"/>
        <v>100</v>
      </c>
      <c r="L22" s="4">
        <f t="shared" si="4"/>
        <v>100</v>
      </c>
      <c r="M22" s="4"/>
      <c r="N22" s="4"/>
    </row>
    <row r="23" spans="1:14" ht="15.75" x14ac:dyDescent="0.25">
      <c r="A23" s="3">
        <v>12</v>
      </c>
      <c r="B23" s="62" t="s">
        <v>1001</v>
      </c>
      <c r="C23" s="87">
        <f t="shared" si="1"/>
        <v>690</v>
      </c>
      <c r="D23" s="87">
        <v>690</v>
      </c>
      <c r="E23" s="87"/>
      <c r="F23" s="87"/>
      <c r="G23" s="87">
        <f t="shared" si="2"/>
        <v>690</v>
      </c>
      <c r="H23" s="87">
        <v>690</v>
      </c>
      <c r="I23" s="87"/>
      <c r="J23" s="87"/>
      <c r="K23" s="4">
        <f t="shared" si="3"/>
        <v>100</v>
      </c>
      <c r="L23" s="4">
        <f t="shared" si="4"/>
        <v>100</v>
      </c>
      <c r="M23" s="4"/>
      <c r="N23" s="4"/>
    </row>
    <row r="24" spans="1:14" ht="15.75" x14ac:dyDescent="0.25">
      <c r="A24" s="3">
        <v>13</v>
      </c>
      <c r="B24" s="62" t="s">
        <v>1002</v>
      </c>
      <c r="C24" s="87">
        <f t="shared" si="1"/>
        <v>1675</v>
      </c>
      <c r="D24" s="87">
        <v>1675</v>
      </c>
      <c r="E24" s="87"/>
      <c r="F24" s="87"/>
      <c r="G24" s="87">
        <f t="shared" si="2"/>
        <v>1675</v>
      </c>
      <c r="H24" s="87">
        <v>1675</v>
      </c>
      <c r="I24" s="87"/>
      <c r="J24" s="87"/>
      <c r="K24" s="4">
        <f t="shared" si="3"/>
        <v>100</v>
      </c>
      <c r="L24" s="4">
        <f t="shared" si="4"/>
        <v>100</v>
      </c>
      <c r="M24" s="4"/>
      <c r="N24" s="4"/>
    </row>
    <row r="25" spans="1:14" ht="15.75" x14ac:dyDescent="0.25">
      <c r="A25" s="3">
        <v>14</v>
      </c>
      <c r="B25" s="62" t="s">
        <v>1003</v>
      </c>
      <c r="C25" s="87">
        <f t="shared" si="1"/>
        <v>1655</v>
      </c>
      <c r="D25" s="87">
        <v>1655</v>
      </c>
      <c r="E25" s="87"/>
      <c r="F25" s="87"/>
      <c r="G25" s="87">
        <f t="shared" si="2"/>
        <v>1655</v>
      </c>
      <c r="H25" s="87">
        <v>1655</v>
      </c>
      <c r="I25" s="87"/>
      <c r="J25" s="87"/>
      <c r="K25" s="4">
        <f t="shared" si="3"/>
        <v>100</v>
      </c>
      <c r="L25" s="4">
        <f t="shared" si="4"/>
        <v>100</v>
      </c>
      <c r="M25" s="4"/>
      <c r="N25" s="4"/>
    </row>
    <row r="26" spans="1:14" ht="15.75" x14ac:dyDescent="0.25">
      <c r="A26" s="3">
        <v>15</v>
      </c>
      <c r="B26" s="62" t="s">
        <v>1004</v>
      </c>
      <c r="C26" s="87">
        <f t="shared" si="1"/>
        <v>1835</v>
      </c>
      <c r="D26" s="87">
        <v>1835</v>
      </c>
      <c r="E26" s="87"/>
      <c r="F26" s="87"/>
      <c r="G26" s="87">
        <f t="shared" si="2"/>
        <v>1835</v>
      </c>
      <c r="H26" s="87">
        <v>1835</v>
      </c>
      <c r="I26" s="87"/>
      <c r="J26" s="87"/>
      <c r="K26" s="4">
        <f t="shared" si="3"/>
        <v>100</v>
      </c>
      <c r="L26" s="4">
        <f t="shared" si="4"/>
        <v>100</v>
      </c>
      <c r="M26" s="4"/>
      <c r="N26" s="4"/>
    </row>
    <row r="27" spans="1:14" ht="15.75" x14ac:dyDescent="0.25">
      <c r="A27" s="3">
        <v>16</v>
      </c>
      <c r="B27" s="62" t="s">
        <v>1005</v>
      </c>
      <c r="C27" s="87">
        <f t="shared" si="1"/>
        <v>630</v>
      </c>
      <c r="D27" s="87">
        <v>630</v>
      </c>
      <c r="E27" s="87"/>
      <c r="F27" s="87"/>
      <c r="G27" s="87">
        <f t="shared" si="2"/>
        <v>630</v>
      </c>
      <c r="H27" s="87">
        <v>630</v>
      </c>
      <c r="I27" s="87"/>
      <c r="J27" s="87"/>
      <c r="K27" s="4">
        <f t="shared" si="3"/>
        <v>100</v>
      </c>
      <c r="L27" s="4">
        <f t="shared" si="4"/>
        <v>100</v>
      </c>
      <c r="M27" s="4"/>
      <c r="N27" s="4"/>
    </row>
    <row r="29" spans="1:14" x14ac:dyDescent="0.25">
      <c r="A29" s="15" t="s">
        <v>534</v>
      </c>
      <c r="C29" s="88"/>
    </row>
    <row r="30" spans="1:14" s="16" customFormat="1" x14ac:dyDescent="0.25">
      <c r="A30" s="562" t="s">
        <v>535</v>
      </c>
      <c r="B30" s="562"/>
      <c r="C30" s="562"/>
      <c r="D30" s="562"/>
      <c r="E30" s="562"/>
      <c r="F30" s="562"/>
      <c r="G30" s="562"/>
      <c r="H30" s="562"/>
      <c r="I30" s="562"/>
      <c r="J30" s="562"/>
      <c r="K30" s="562"/>
      <c r="L30" s="562"/>
      <c r="M30" s="562"/>
      <c r="N30" s="562"/>
    </row>
    <row r="31" spans="1:14" s="16" customFormat="1" x14ac:dyDescent="0.25">
      <c r="A31" s="586" t="s">
        <v>533</v>
      </c>
      <c r="B31" s="586"/>
      <c r="C31" s="586"/>
      <c r="D31" s="586"/>
      <c r="E31" s="586"/>
      <c r="F31" s="586"/>
      <c r="G31" s="586"/>
      <c r="H31" s="586"/>
      <c r="I31" s="586"/>
      <c r="J31" s="586"/>
      <c r="K31" s="586"/>
      <c r="L31" s="586"/>
      <c r="M31" s="586"/>
      <c r="N31" s="586"/>
    </row>
  </sheetData>
  <mergeCells count="19">
    <mergeCell ref="A1:N1"/>
    <mergeCell ref="A2:N2"/>
    <mergeCell ref="L6:N6"/>
    <mergeCell ref="L8:N8"/>
    <mergeCell ref="A7:A9"/>
    <mergeCell ref="A5:N5"/>
    <mergeCell ref="A3:N3"/>
    <mergeCell ref="A4:N4"/>
    <mergeCell ref="A30:N30"/>
    <mergeCell ref="A31:N31"/>
    <mergeCell ref="B7:B9"/>
    <mergeCell ref="C7:F7"/>
    <mergeCell ref="G7:J7"/>
    <mergeCell ref="K7:N7"/>
    <mergeCell ref="C8:C9"/>
    <mergeCell ref="D8:F8"/>
    <mergeCell ref="G8:G9"/>
    <mergeCell ref="H8:J8"/>
    <mergeCell ref="K8:K9"/>
  </mergeCells>
  <printOptions horizontalCentered="1"/>
  <pageMargins left="0.36811023599999998" right="0.25" top="0.15748031496063" bottom="0.15748031496063" header="0.31496062992126" footer="0.31496062992126"/>
  <pageSetup paperSize="9"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O72"/>
  <sheetViews>
    <sheetView workbookViewId="0">
      <selection activeCell="J8" sqref="J8:J15"/>
    </sheetView>
  </sheetViews>
  <sheetFormatPr defaultColWidth="9.28515625" defaultRowHeight="14.25" customHeight="1" x14ac:dyDescent="0.25"/>
  <cols>
    <col min="1" max="1" width="6.28515625" style="1" customWidth="1"/>
    <col min="2" max="2" width="29.42578125" style="1" customWidth="1"/>
    <col min="3" max="3" width="13.7109375" style="1" customWidth="1"/>
    <col min="4" max="4" width="10.7109375" style="1" customWidth="1"/>
    <col min="5" max="5" width="11.28515625" style="1" customWidth="1"/>
    <col min="6" max="6" width="10" style="1" customWidth="1"/>
    <col min="7" max="7" width="10.7109375" style="1" customWidth="1"/>
    <col min="8" max="8" width="10.42578125" style="1" customWidth="1"/>
    <col min="9" max="9" width="10.5703125" style="1" customWidth="1"/>
    <col min="10" max="10" width="10.7109375" style="1" customWidth="1"/>
    <col min="11" max="11" width="11.28515625" style="1" customWidth="1"/>
    <col min="12" max="16384" width="9.28515625" style="1"/>
  </cols>
  <sheetData>
    <row r="1" spans="1:15" ht="14.25" customHeight="1" x14ac:dyDescent="0.25">
      <c r="B1" s="91"/>
      <c r="C1" s="91"/>
      <c r="D1" s="91"/>
      <c r="E1" s="91"/>
      <c r="F1" s="91"/>
      <c r="G1" s="91"/>
      <c r="H1" s="91"/>
      <c r="I1" s="91"/>
      <c r="J1" s="560" t="s">
        <v>354</v>
      </c>
      <c r="K1" s="560"/>
      <c r="L1" s="560"/>
      <c r="M1" s="560"/>
      <c r="N1" s="91"/>
      <c r="O1" s="91"/>
    </row>
    <row r="2" spans="1:15" ht="18.75" x14ac:dyDescent="0.25">
      <c r="A2" s="554" t="s">
        <v>1340</v>
      </c>
      <c r="B2" s="554"/>
      <c r="C2" s="554"/>
      <c r="D2" s="554"/>
      <c r="E2" s="554"/>
      <c r="F2" s="554"/>
      <c r="G2" s="554"/>
      <c r="H2" s="554"/>
      <c r="I2" s="554"/>
      <c r="J2" s="554"/>
      <c r="K2" s="554"/>
      <c r="L2" s="554"/>
      <c r="M2" s="554"/>
      <c r="N2" s="90"/>
      <c r="O2" s="90"/>
    </row>
    <row r="3" spans="1:15" ht="18.75" x14ac:dyDescent="0.25">
      <c r="A3" s="587" t="s">
        <v>1351</v>
      </c>
      <c r="B3" s="587"/>
      <c r="C3" s="587"/>
      <c r="D3" s="587"/>
      <c r="E3" s="587"/>
      <c r="F3" s="587"/>
      <c r="G3" s="587"/>
      <c r="H3" s="587"/>
      <c r="I3" s="587"/>
      <c r="J3" s="587"/>
      <c r="K3" s="587"/>
      <c r="L3" s="587"/>
      <c r="M3" s="587"/>
      <c r="N3" s="90"/>
      <c r="O3" s="90"/>
    </row>
    <row r="4" spans="1:15" ht="18.75" hidden="1" x14ac:dyDescent="0.25">
      <c r="A4" s="587" t="s">
        <v>1341</v>
      </c>
      <c r="B4" s="587"/>
      <c r="C4" s="587"/>
      <c r="D4" s="587"/>
      <c r="E4" s="587"/>
      <c r="F4" s="587"/>
      <c r="G4" s="587"/>
      <c r="H4" s="587"/>
      <c r="I4" s="587"/>
      <c r="J4" s="587"/>
      <c r="K4" s="587"/>
      <c r="L4" s="587"/>
      <c r="M4" s="587"/>
      <c r="N4" s="90"/>
      <c r="O4" s="90"/>
    </row>
    <row r="5" spans="1:15" ht="18.75" hidden="1" customHeight="1" x14ac:dyDescent="0.25">
      <c r="A5" s="587" t="s">
        <v>1341</v>
      </c>
      <c r="B5" s="587"/>
      <c r="C5" s="587"/>
      <c r="D5" s="587"/>
      <c r="E5" s="587"/>
      <c r="F5" s="587"/>
      <c r="G5" s="587"/>
      <c r="H5" s="587"/>
      <c r="I5" s="587"/>
      <c r="J5" s="587"/>
      <c r="K5" s="587"/>
      <c r="L5" s="587"/>
      <c r="M5" s="587"/>
      <c r="N5" s="173"/>
      <c r="O5" s="91"/>
    </row>
    <row r="6" spans="1:15" ht="14.25" customHeight="1" x14ac:dyDescent="0.25">
      <c r="J6" s="561" t="s">
        <v>56</v>
      </c>
      <c r="K6" s="561"/>
      <c r="L6" s="561"/>
      <c r="M6" s="561"/>
    </row>
    <row r="7" spans="1:15" s="161" customFormat="1" ht="23.25" customHeight="1" x14ac:dyDescent="0.25">
      <c r="A7" s="588" t="s">
        <v>1153</v>
      </c>
      <c r="B7" s="588" t="s">
        <v>1154</v>
      </c>
      <c r="C7" s="588" t="s">
        <v>1155</v>
      </c>
      <c r="D7" s="588" t="s">
        <v>1286</v>
      </c>
      <c r="E7" s="589" t="s">
        <v>1156</v>
      </c>
      <c r="F7" s="589"/>
      <c r="G7" s="589"/>
      <c r="H7" s="589"/>
      <c r="I7" s="589"/>
      <c r="J7" s="589"/>
      <c r="K7" s="589"/>
      <c r="L7" s="588" t="s">
        <v>1287</v>
      </c>
      <c r="M7" s="588" t="s">
        <v>1288</v>
      </c>
      <c r="N7" s="160"/>
      <c r="O7" s="160"/>
    </row>
    <row r="8" spans="1:15" s="161" customFormat="1" ht="14.25" customHeight="1" x14ac:dyDescent="0.25">
      <c r="A8" s="589"/>
      <c r="B8" s="589"/>
      <c r="C8" s="589"/>
      <c r="D8" s="589"/>
      <c r="E8" s="588" t="s">
        <v>1285</v>
      </c>
      <c r="F8" s="588" t="s">
        <v>1157</v>
      </c>
      <c r="G8" s="588" t="s">
        <v>1158</v>
      </c>
      <c r="H8" s="588" t="s">
        <v>1159</v>
      </c>
      <c r="I8" s="588" t="s">
        <v>1160</v>
      </c>
      <c r="J8" s="588" t="s">
        <v>1161</v>
      </c>
      <c r="K8" s="588" t="s">
        <v>1162</v>
      </c>
      <c r="L8" s="589"/>
      <c r="M8" s="589"/>
      <c r="N8" s="160"/>
      <c r="O8" s="160"/>
    </row>
    <row r="9" spans="1:15" s="161" customFormat="1" ht="14.25" customHeight="1" x14ac:dyDescent="0.25">
      <c r="A9" s="589"/>
      <c r="B9" s="589"/>
      <c r="C9" s="589"/>
      <c r="D9" s="589"/>
      <c r="E9" s="589"/>
      <c r="F9" s="589"/>
      <c r="G9" s="589"/>
      <c r="H9" s="589"/>
      <c r="I9" s="589"/>
      <c r="J9" s="588"/>
      <c r="K9" s="589"/>
      <c r="L9" s="589"/>
      <c r="M9" s="589"/>
      <c r="N9" s="160"/>
      <c r="O9" s="160"/>
    </row>
    <row r="10" spans="1:15" s="161" customFormat="1" ht="14.25" customHeight="1" x14ac:dyDescent="0.25">
      <c r="A10" s="589"/>
      <c r="B10" s="589"/>
      <c r="C10" s="589"/>
      <c r="D10" s="589"/>
      <c r="E10" s="589"/>
      <c r="F10" s="589"/>
      <c r="G10" s="589"/>
      <c r="H10" s="589"/>
      <c r="I10" s="589"/>
      <c r="J10" s="588"/>
      <c r="K10" s="589"/>
      <c r="L10" s="589"/>
      <c r="M10" s="589"/>
      <c r="N10" s="160"/>
      <c r="O10" s="160"/>
    </row>
    <row r="11" spans="1:15" s="161" customFormat="1" ht="14.25" customHeight="1" x14ac:dyDescent="0.25">
      <c r="A11" s="589"/>
      <c r="B11" s="589"/>
      <c r="C11" s="589"/>
      <c r="D11" s="589"/>
      <c r="E11" s="589"/>
      <c r="F11" s="589"/>
      <c r="G11" s="589"/>
      <c r="H11" s="589"/>
      <c r="I11" s="589"/>
      <c r="J11" s="588"/>
      <c r="K11" s="589"/>
      <c r="L11" s="589"/>
      <c r="M11" s="589"/>
      <c r="N11" s="160"/>
      <c r="O11" s="160"/>
    </row>
    <row r="12" spans="1:15" s="161" customFormat="1" ht="14.25" customHeight="1" x14ac:dyDescent="0.25">
      <c r="A12" s="589"/>
      <c r="B12" s="589"/>
      <c r="C12" s="589"/>
      <c r="D12" s="589"/>
      <c r="E12" s="589"/>
      <c r="F12" s="589"/>
      <c r="G12" s="589"/>
      <c r="H12" s="589"/>
      <c r="I12" s="589"/>
      <c r="J12" s="588"/>
      <c r="K12" s="589"/>
      <c r="L12" s="589"/>
      <c r="M12" s="589"/>
      <c r="N12" s="160"/>
      <c r="O12" s="160"/>
    </row>
    <row r="13" spans="1:15" s="161" customFormat="1" ht="14.25" customHeight="1" x14ac:dyDescent="0.25">
      <c r="A13" s="589"/>
      <c r="B13" s="589"/>
      <c r="C13" s="589"/>
      <c r="D13" s="589"/>
      <c r="E13" s="589"/>
      <c r="F13" s="589"/>
      <c r="G13" s="589"/>
      <c r="H13" s="589"/>
      <c r="I13" s="589"/>
      <c r="J13" s="588"/>
      <c r="K13" s="589"/>
      <c r="L13" s="589"/>
      <c r="M13" s="589"/>
      <c r="N13" s="160"/>
      <c r="O13" s="160"/>
    </row>
    <row r="14" spans="1:15" s="161" customFormat="1" ht="14.25" customHeight="1" x14ac:dyDescent="0.25">
      <c r="A14" s="589"/>
      <c r="B14" s="589"/>
      <c r="C14" s="589"/>
      <c r="D14" s="589"/>
      <c r="E14" s="589"/>
      <c r="F14" s="589"/>
      <c r="G14" s="589"/>
      <c r="H14" s="589"/>
      <c r="I14" s="589"/>
      <c r="J14" s="588"/>
      <c r="K14" s="589"/>
      <c r="L14" s="589"/>
      <c r="M14" s="589"/>
      <c r="N14" s="160"/>
      <c r="O14" s="160"/>
    </row>
    <row r="15" spans="1:15" s="161" customFormat="1" ht="12.75" customHeight="1" x14ac:dyDescent="0.25">
      <c r="A15" s="589"/>
      <c r="B15" s="589"/>
      <c r="C15" s="589"/>
      <c r="D15" s="589"/>
      <c r="E15" s="589"/>
      <c r="F15" s="589"/>
      <c r="G15" s="589"/>
      <c r="H15" s="589"/>
      <c r="I15" s="589"/>
      <c r="J15" s="588"/>
      <c r="K15" s="589"/>
      <c r="L15" s="589"/>
      <c r="M15" s="589"/>
      <c r="N15" s="160"/>
      <c r="O15" s="160"/>
    </row>
    <row r="16" spans="1:15" s="161" customFormat="1" ht="20.100000000000001" customHeight="1" x14ac:dyDescent="0.25">
      <c r="A16" s="168" t="s">
        <v>15</v>
      </c>
      <c r="B16" s="169" t="s">
        <v>16</v>
      </c>
      <c r="C16" s="170" t="s">
        <v>1042</v>
      </c>
      <c r="D16" s="170" t="s">
        <v>1043</v>
      </c>
      <c r="E16" s="170" t="s">
        <v>1044</v>
      </c>
      <c r="F16" s="170" t="s">
        <v>1045</v>
      </c>
      <c r="G16" s="170" t="s">
        <v>1046</v>
      </c>
      <c r="H16" s="170" t="s">
        <v>1047</v>
      </c>
      <c r="I16" s="170" t="s">
        <v>1048</v>
      </c>
      <c r="J16" s="170" t="s">
        <v>1049</v>
      </c>
      <c r="K16" s="170" t="s">
        <v>1050</v>
      </c>
      <c r="L16" s="170" t="s">
        <v>1051</v>
      </c>
      <c r="M16" s="170" t="s">
        <v>1052</v>
      </c>
      <c r="N16" s="160"/>
      <c r="O16" s="160"/>
    </row>
    <row r="17" spans="1:15" s="161" customFormat="1" ht="20.100000000000001" customHeight="1" x14ac:dyDescent="0.25">
      <c r="A17" s="157"/>
      <c r="B17" s="158" t="s">
        <v>1163</v>
      </c>
      <c r="C17" s="159">
        <f t="shared" ref="C17:K17" si="0">SUM(C18:C33)</f>
        <v>68635</v>
      </c>
      <c r="D17" s="159">
        <f t="shared" si="0"/>
        <v>68635</v>
      </c>
      <c r="E17" s="159">
        <f t="shared" si="0"/>
        <v>26880</v>
      </c>
      <c r="F17" s="171">
        <f t="shared" si="0"/>
        <v>0</v>
      </c>
      <c r="G17" s="159">
        <f t="shared" si="0"/>
        <v>12000</v>
      </c>
      <c r="H17" s="159">
        <f t="shared" si="0"/>
        <v>1785</v>
      </c>
      <c r="I17" s="159">
        <f t="shared" si="0"/>
        <v>22720</v>
      </c>
      <c r="J17" s="159">
        <f t="shared" si="0"/>
        <v>2750</v>
      </c>
      <c r="K17" s="159">
        <f t="shared" si="0"/>
        <v>2500</v>
      </c>
      <c r="L17" s="159"/>
      <c r="M17" s="159"/>
      <c r="N17" s="160"/>
      <c r="O17" s="160"/>
    </row>
    <row r="18" spans="1:15" s="161" customFormat="1" ht="20.100000000000001" customHeight="1" x14ac:dyDescent="0.25">
      <c r="A18" s="162">
        <v>1</v>
      </c>
      <c r="B18" s="163" t="s">
        <v>991</v>
      </c>
      <c r="C18" s="164">
        <f>D18</f>
        <v>63830</v>
      </c>
      <c r="D18" s="164">
        <f>SUM(E18:K18)</f>
        <v>63830</v>
      </c>
      <c r="E18" s="164">
        <v>26880</v>
      </c>
      <c r="F18" s="164"/>
      <c r="G18" s="164">
        <v>12000</v>
      </c>
      <c r="H18" s="164">
        <v>1785</v>
      </c>
      <c r="I18" s="164">
        <v>20795</v>
      </c>
      <c r="J18" s="164">
        <v>1140</v>
      </c>
      <c r="K18" s="164">
        <v>1230</v>
      </c>
      <c r="L18" s="164"/>
      <c r="M18" s="164"/>
      <c r="N18" s="160"/>
      <c r="O18" s="160"/>
    </row>
    <row r="19" spans="1:15" s="161" customFormat="1" ht="20.100000000000001" customHeight="1" x14ac:dyDescent="0.25">
      <c r="A19" s="162">
        <f>A18+1</f>
        <v>2</v>
      </c>
      <c r="B19" s="163" t="s">
        <v>992</v>
      </c>
      <c r="C19" s="164">
        <f t="shared" ref="C19:C33" si="1">D19</f>
        <v>480</v>
      </c>
      <c r="D19" s="164">
        <f t="shared" ref="D19:D33" si="2">SUM(E19:K19)</f>
        <v>480</v>
      </c>
      <c r="E19" s="164"/>
      <c r="F19" s="164"/>
      <c r="G19" s="164"/>
      <c r="H19" s="164"/>
      <c r="I19" s="164">
        <v>230</v>
      </c>
      <c r="J19" s="164">
        <v>170</v>
      </c>
      <c r="K19" s="164">
        <v>80</v>
      </c>
      <c r="L19" s="164"/>
      <c r="M19" s="164"/>
      <c r="N19" s="160"/>
      <c r="O19" s="160"/>
    </row>
    <row r="20" spans="1:15" s="161" customFormat="1" ht="20.100000000000001" customHeight="1" x14ac:dyDescent="0.25">
      <c r="A20" s="162">
        <f t="shared" ref="A20:A33" si="3">A19+1</f>
        <v>3</v>
      </c>
      <c r="B20" s="163" t="s">
        <v>993</v>
      </c>
      <c r="C20" s="164">
        <f t="shared" si="1"/>
        <v>365</v>
      </c>
      <c r="D20" s="164">
        <f t="shared" si="2"/>
        <v>365</v>
      </c>
      <c r="E20" s="164"/>
      <c r="F20" s="164"/>
      <c r="G20" s="164"/>
      <c r="H20" s="164"/>
      <c r="I20" s="164">
        <v>60</v>
      </c>
      <c r="J20" s="164">
        <v>205</v>
      </c>
      <c r="K20" s="164">
        <v>100</v>
      </c>
      <c r="L20" s="164"/>
      <c r="M20" s="164"/>
      <c r="N20" s="160"/>
      <c r="O20" s="160"/>
    </row>
    <row r="21" spans="1:15" s="161" customFormat="1" ht="20.100000000000001" customHeight="1" x14ac:dyDescent="0.25">
      <c r="A21" s="162">
        <f t="shared" si="3"/>
        <v>4</v>
      </c>
      <c r="B21" s="163" t="s">
        <v>994</v>
      </c>
      <c r="C21" s="164">
        <f t="shared" si="1"/>
        <v>590</v>
      </c>
      <c r="D21" s="164">
        <f t="shared" si="2"/>
        <v>590</v>
      </c>
      <c r="E21" s="164"/>
      <c r="F21" s="164"/>
      <c r="G21" s="164"/>
      <c r="H21" s="164"/>
      <c r="I21" s="164">
        <v>240</v>
      </c>
      <c r="J21" s="164">
        <v>230</v>
      </c>
      <c r="K21" s="164">
        <v>120</v>
      </c>
      <c r="L21" s="164"/>
      <c r="M21" s="164"/>
      <c r="N21" s="160"/>
      <c r="O21" s="160"/>
    </row>
    <row r="22" spans="1:15" s="161" customFormat="1" ht="20.100000000000001" customHeight="1" x14ac:dyDescent="0.25">
      <c r="A22" s="162">
        <f t="shared" si="3"/>
        <v>5</v>
      </c>
      <c r="B22" s="163" t="s">
        <v>995</v>
      </c>
      <c r="C22" s="164">
        <f t="shared" si="1"/>
        <v>610</v>
      </c>
      <c r="D22" s="164">
        <f t="shared" si="2"/>
        <v>610</v>
      </c>
      <c r="E22" s="164"/>
      <c r="F22" s="164"/>
      <c r="G22" s="164"/>
      <c r="H22" s="164"/>
      <c r="I22" s="164">
        <v>340</v>
      </c>
      <c r="J22" s="164">
        <v>160</v>
      </c>
      <c r="K22" s="164">
        <v>110</v>
      </c>
      <c r="L22" s="164"/>
      <c r="M22" s="164"/>
      <c r="N22" s="160"/>
      <c r="O22" s="160"/>
    </row>
    <row r="23" spans="1:15" s="161" customFormat="1" ht="20.100000000000001" customHeight="1" x14ac:dyDescent="0.25">
      <c r="A23" s="162">
        <f t="shared" si="3"/>
        <v>6</v>
      </c>
      <c r="B23" s="163" t="s">
        <v>996</v>
      </c>
      <c r="C23" s="164">
        <f t="shared" si="1"/>
        <v>460</v>
      </c>
      <c r="D23" s="164">
        <f t="shared" si="2"/>
        <v>460</v>
      </c>
      <c r="E23" s="164"/>
      <c r="F23" s="164"/>
      <c r="G23" s="164"/>
      <c r="H23" s="164"/>
      <c r="I23" s="164">
        <v>240</v>
      </c>
      <c r="J23" s="164">
        <v>110</v>
      </c>
      <c r="K23" s="164">
        <v>110</v>
      </c>
      <c r="L23" s="164"/>
      <c r="M23" s="164"/>
      <c r="N23" s="160"/>
      <c r="O23" s="160"/>
    </row>
    <row r="24" spans="1:15" s="161" customFormat="1" ht="20.100000000000001" customHeight="1" x14ac:dyDescent="0.25">
      <c r="A24" s="162">
        <f t="shared" si="3"/>
        <v>7</v>
      </c>
      <c r="B24" s="163" t="s">
        <v>997</v>
      </c>
      <c r="C24" s="164">
        <f t="shared" si="1"/>
        <v>320</v>
      </c>
      <c r="D24" s="164">
        <f t="shared" si="2"/>
        <v>320</v>
      </c>
      <c r="E24" s="164"/>
      <c r="F24" s="164"/>
      <c r="G24" s="164"/>
      <c r="H24" s="164"/>
      <c r="I24" s="164">
        <v>140</v>
      </c>
      <c r="J24" s="164">
        <v>110</v>
      </c>
      <c r="K24" s="164">
        <v>70</v>
      </c>
      <c r="L24" s="164"/>
      <c r="M24" s="164"/>
      <c r="N24" s="160"/>
      <c r="O24" s="160"/>
    </row>
    <row r="25" spans="1:15" s="161" customFormat="1" ht="20.100000000000001" customHeight="1" x14ac:dyDescent="0.25">
      <c r="A25" s="162">
        <f t="shared" si="3"/>
        <v>8</v>
      </c>
      <c r="B25" s="163" t="s">
        <v>998</v>
      </c>
      <c r="C25" s="164">
        <f t="shared" si="1"/>
        <v>60</v>
      </c>
      <c r="D25" s="164">
        <f t="shared" si="2"/>
        <v>60</v>
      </c>
      <c r="E25" s="164"/>
      <c r="F25" s="164"/>
      <c r="G25" s="164"/>
      <c r="H25" s="164"/>
      <c r="I25" s="164">
        <v>15</v>
      </c>
      <c r="J25" s="164">
        <v>25</v>
      </c>
      <c r="K25" s="164">
        <v>20</v>
      </c>
      <c r="L25" s="164"/>
      <c r="M25" s="164"/>
      <c r="N25" s="160"/>
      <c r="O25" s="160"/>
    </row>
    <row r="26" spans="1:15" s="161" customFormat="1" ht="20.100000000000001" customHeight="1" x14ac:dyDescent="0.25">
      <c r="A26" s="162">
        <f t="shared" si="3"/>
        <v>9</v>
      </c>
      <c r="B26" s="163" t="s">
        <v>999</v>
      </c>
      <c r="C26" s="164">
        <f t="shared" si="1"/>
        <v>260</v>
      </c>
      <c r="D26" s="164">
        <f t="shared" si="2"/>
        <v>260</v>
      </c>
      <c r="E26" s="164"/>
      <c r="F26" s="164"/>
      <c r="G26" s="164"/>
      <c r="H26" s="164"/>
      <c r="I26" s="164">
        <v>140</v>
      </c>
      <c r="J26" s="164">
        <v>60</v>
      </c>
      <c r="K26" s="164">
        <v>60</v>
      </c>
      <c r="L26" s="164"/>
      <c r="M26" s="164"/>
      <c r="N26" s="160"/>
      <c r="O26" s="160"/>
    </row>
    <row r="27" spans="1:15" s="161" customFormat="1" ht="20.100000000000001" customHeight="1" x14ac:dyDescent="0.25">
      <c r="A27" s="162">
        <f t="shared" si="3"/>
        <v>10</v>
      </c>
      <c r="B27" s="163" t="s">
        <v>1000</v>
      </c>
      <c r="C27" s="164">
        <f t="shared" si="1"/>
        <v>210</v>
      </c>
      <c r="D27" s="164">
        <f t="shared" si="2"/>
        <v>210</v>
      </c>
      <c r="E27" s="164"/>
      <c r="F27" s="164"/>
      <c r="G27" s="164"/>
      <c r="H27" s="164"/>
      <c r="I27" s="164">
        <v>40</v>
      </c>
      <c r="J27" s="164">
        <v>80</v>
      </c>
      <c r="K27" s="164">
        <v>90</v>
      </c>
      <c r="L27" s="164"/>
      <c r="M27" s="164"/>
      <c r="N27" s="160"/>
      <c r="O27" s="160"/>
    </row>
    <row r="28" spans="1:15" s="161" customFormat="1" ht="20.100000000000001" customHeight="1" x14ac:dyDescent="0.25">
      <c r="A28" s="162">
        <f t="shared" si="3"/>
        <v>11</v>
      </c>
      <c r="B28" s="163" t="s">
        <v>1145</v>
      </c>
      <c r="C28" s="164">
        <f t="shared" si="1"/>
        <v>180</v>
      </c>
      <c r="D28" s="164">
        <f t="shared" si="2"/>
        <v>180</v>
      </c>
      <c r="E28" s="164"/>
      <c r="F28" s="164"/>
      <c r="G28" s="164"/>
      <c r="H28" s="164"/>
      <c r="I28" s="164">
        <v>40</v>
      </c>
      <c r="J28" s="164">
        <v>30</v>
      </c>
      <c r="K28" s="164">
        <v>110</v>
      </c>
      <c r="L28" s="164"/>
      <c r="M28" s="164"/>
      <c r="N28" s="160"/>
      <c r="O28" s="160"/>
    </row>
    <row r="29" spans="1:15" s="161" customFormat="1" ht="20.100000000000001" customHeight="1" x14ac:dyDescent="0.25">
      <c r="A29" s="162">
        <f t="shared" si="3"/>
        <v>12</v>
      </c>
      <c r="B29" s="163" t="s">
        <v>1001</v>
      </c>
      <c r="C29" s="164">
        <f t="shared" si="1"/>
        <v>160</v>
      </c>
      <c r="D29" s="164">
        <f t="shared" si="2"/>
        <v>160</v>
      </c>
      <c r="E29" s="164"/>
      <c r="F29" s="164"/>
      <c r="G29" s="164"/>
      <c r="H29" s="164"/>
      <c r="I29" s="164">
        <v>40</v>
      </c>
      <c r="J29" s="164">
        <v>50</v>
      </c>
      <c r="K29" s="164">
        <v>70</v>
      </c>
      <c r="L29" s="164"/>
      <c r="M29" s="164"/>
      <c r="N29" s="160"/>
      <c r="O29" s="160"/>
    </row>
    <row r="30" spans="1:15" s="161" customFormat="1" ht="20.100000000000001" customHeight="1" x14ac:dyDescent="0.25">
      <c r="A30" s="162">
        <f t="shared" si="3"/>
        <v>13</v>
      </c>
      <c r="B30" s="163" t="s">
        <v>1002</v>
      </c>
      <c r="C30" s="164">
        <f t="shared" si="1"/>
        <v>280</v>
      </c>
      <c r="D30" s="164">
        <f t="shared" si="2"/>
        <v>280</v>
      </c>
      <c r="E30" s="164"/>
      <c r="F30" s="164"/>
      <c r="G30" s="164"/>
      <c r="H30" s="164"/>
      <c r="I30" s="164">
        <v>80</v>
      </c>
      <c r="J30" s="164">
        <v>80</v>
      </c>
      <c r="K30" s="164">
        <v>120</v>
      </c>
      <c r="L30" s="164"/>
      <c r="M30" s="164"/>
      <c r="N30" s="160"/>
      <c r="O30" s="160"/>
    </row>
    <row r="31" spans="1:15" s="161" customFormat="1" ht="20.100000000000001" customHeight="1" x14ac:dyDescent="0.25">
      <c r="A31" s="162">
        <f t="shared" si="3"/>
        <v>14</v>
      </c>
      <c r="B31" s="163" t="s">
        <v>1003</v>
      </c>
      <c r="C31" s="164">
        <f t="shared" si="1"/>
        <v>330</v>
      </c>
      <c r="D31" s="164">
        <f t="shared" si="2"/>
        <v>330</v>
      </c>
      <c r="E31" s="164"/>
      <c r="F31" s="164"/>
      <c r="G31" s="164"/>
      <c r="H31" s="164"/>
      <c r="I31" s="164">
        <v>140</v>
      </c>
      <c r="J31" s="164">
        <v>90</v>
      </c>
      <c r="K31" s="164">
        <v>100</v>
      </c>
      <c r="L31" s="164"/>
      <c r="M31" s="164"/>
      <c r="N31" s="160"/>
      <c r="O31" s="160"/>
    </row>
    <row r="32" spans="1:15" s="161" customFormat="1" ht="20.100000000000001" customHeight="1" x14ac:dyDescent="0.25">
      <c r="A32" s="162">
        <f t="shared" si="3"/>
        <v>15</v>
      </c>
      <c r="B32" s="163" t="s">
        <v>1004</v>
      </c>
      <c r="C32" s="164">
        <f t="shared" si="1"/>
        <v>380</v>
      </c>
      <c r="D32" s="164">
        <f t="shared" si="2"/>
        <v>380</v>
      </c>
      <c r="E32" s="164"/>
      <c r="F32" s="164"/>
      <c r="G32" s="164"/>
      <c r="H32" s="164"/>
      <c r="I32" s="164">
        <v>110</v>
      </c>
      <c r="J32" s="164">
        <v>190</v>
      </c>
      <c r="K32" s="164">
        <v>80</v>
      </c>
      <c r="L32" s="164"/>
      <c r="M32" s="164"/>
      <c r="N32" s="160"/>
      <c r="O32" s="160"/>
    </row>
    <row r="33" spans="1:15" s="161" customFormat="1" ht="20.100000000000001" customHeight="1" x14ac:dyDescent="0.25">
      <c r="A33" s="165">
        <f t="shared" si="3"/>
        <v>16</v>
      </c>
      <c r="B33" s="166" t="s">
        <v>1005</v>
      </c>
      <c r="C33" s="167">
        <f t="shared" si="1"/>
        <v>120</v>
      </c>
      <c r="D33" s="167">
        <f t="shared" si="2"/>
        <v>120</v>
      </c>
      <c r="E33" s="167"/>
      <c r="F33" s="167"/>
      <c r="G33" s="167"/>
      <c r="H33" s="167"/>
      <c r="I33" s="167">
        <v>70</v>
      </c>
      <c r="J33" s="167">
        <v>20</v>
      </c>
      <c r="K33" s="167">
        <v>30</v>
      </c>
      <c r="L33" s="167"/>
      <c r="M33" s="167"/>
      <c r="N33" s="160"/>
      <c r="O33" s="160"/>
    </row>
    <row r="34" spans="1:15" ht="14.25" customHeight="1" x14ac:dyDescent="0.25">
      <c r="M34" s="85"/>
      <c r="N34" s="85"/>
      <c r="O34" s="85"/>
    </row>
    <row r="35" spans="1:15" ht="14.25" customHeight="1" x14ac:dyDescent="0.25">
      <c r="M35" s="85"/>
      <c r="N35" s="85"/>
      <c r="O35" s="85"/>
    </row>
    <row r="36" spans="1:15" ht="14.25" customHeight="1" x14ac:dyDescent="0.25">
      <c r="M36" s="85"/>
      <c r="N36" s="85"/>
      <c r="O36" s="85"/>
    </row>
    <row r="37" spans="1:15" ht="14.25" customHeight="1" x14ac:dyDescent="0.25">
      <c r="M37" s="85"/>
      <c r="N37" s="85"/>
      <c r="O37" s="85"/>
    </row>
    <row r="38" spans="1:15" ht="14.25" customHeight="1" x14ac:dyDescent="0.25">
      <c r="M38" s="85"/>
      <c r="N38" s="85"/>
      <c r="O38" s="85"/>
    </row>
    <row r="39" spans="1:15" ht="14.25" customHeight="1" x14ac:dyDescent="0.25">
      <c r="M39" s="85"/>
      <c r="N39" s="85"/>
      <c r="O39" s="85"/>
    </row>
    <row r="40" spans="1:15" ht="14.25" customHeight="1" x14ac:dyDescent="0.25">
      <c r="M40" s="85"/>
      <c r="N40" s="85"/>
      <c r="O40" s="85"/>
    </row>
    <row r="41" spans="1:15" ht="14.25" customHeight="1" x14ac:dyDescent="0.25">
      <c r="M41" s="85"/>
      <c r="N41" s="85"/>
      <c r="O41" s="85"/>
    </row>
    <row r="42" spans="1:15" ht="14.25" customHeight="1" x14ac:dyDescent="0.25">
      <c r="M42" s="85"/>
      <c r="N42" s="85"/>
      <c r="O42" s="85"/>
    </row>
    <row r="43" spans="1:15" ht="14.25" customHeight="1" x14ac:dyDescent="0.25">
      <c r="M43" s="85"/>
      <c r="N43" s="85"/>
      <c r="O43" s="85"/>
    </row>
    <row r="44" spans="1:15" ht="14.25" customHeight="1" x14ac:dyDescent="0.25">
      <c r="M44" s="85"/>
      <c r="N44" s="85"/>
      <c r="O44" s="85"/>
    </row>
    <row r="45" spans="1:15" ht="14.25" customHeight="1" x14ac:dyDescent="0.25">
      <c r="M45" s="85"/>
      <c r="N45" s="85"/>
      <c r="O45" s="85"/>
    </row>
    <row r="46" spans="1:15" ht="14.25" customHeight="1" x14ac:dyDescent="0.25">
      <c r="M46" s="85"/>
      <c r="N46" s="85"/>
      <c r="O46" s="85"/>
    </row>
    <row r="47" spans="1:15" ht="14.25" customHeight="1" x14ac:dyDescent="0.25">
      <c r="M47" s="85"/>
      <c r="N47" s="85"/>
      <c r="O47" s="85"/>
    </row>
    <row r="48" spans="1:15" ht="14.25" customHeight="1" x14ac:dyDescent="0.25">
      <c r="M48" s="85"/>
      <c r="N48" s="85"/>
      <c r="O48" s="85"/>
    </row>
    <row r="49" spans="13:15" ht="14.25" customHeight="1" x14ac:dyDescent="0.25">
      <c r="M49" s="85"/>
      <c r="N49" s="85"/>
      <c r="O49" s="85"/>
    </row>
    <row r="50" spans="13:15" ht="14.25" customHeight="1" x14ac:dyDescent="0.25">
      <c r="M50" s="85"/>
      <c r="N50" s="85"/>
      <c r="O50" s="85"/>
    </row>
    <row r="51" spans="13:15" ht="14.25" customHeight="1" x14ac:dyDescent="0.25">
      <c r="M51" s="85"/>
      <c r="N51" s="85"/>
      <c r="O51" s="85"/>
    </row>
    <row r="52" spans="13:15" ht="14.25" customHeight="1" x14ac:dyDescent="0.25">
      <c r="M52" s="85"/>
      <c r="N52" s="85"/>
      <c r="O52" s="85"/>
    </row>
    <row r="53" spans="13:15" ht="14.25" customHeight="1" x14ac:dyDescent="0.25">
      <c r="M53" s="85"/>
      <c r="N53" s="85"/>
      <c r="O53" s="85"/>
    </row>
    <row r="54" spans="13:15" ht="14.25" customHeight="1" x14ac:dyDescent="0.25">
      <c r="M54" s="85"/>
      <c r="N54" s="85"/>
      <c r="O54" s="85"/>
    </row>
    <row r="55" spans="13:15" ht="14.25" customHeight="1" x14ac:dyDescent="0.25">
      <c r="M55" s="85"/>
      <c r="N55" s="85"/>
      <c r="O55" s="85"/>
    </row>
    <row r="56" spans="13:15" ht="14.25" customHeight="1" x14ac:dyDescent="0.25">
      <c r="M56" s="85"/>
      <c r="N56" s="85"/>
      <c r="O56" s="85"/>
    </row>
    <row r="57" spans="13:15" ht="14.25" customHeight="1" x14ac:dyDescent="0.25">
      <c r="M57" s="85"/>
      <c r="N57" s="85"/>
      <c r="O57" s="85"/>
    </row>
    <row r="58" spans="13:15" ht="14.25" customHeight="1" x14ac:dyDescent="0.25">
      <c r="M58" s="85"/>
      <c r="N58" s="85"/>
      <c r="O58" s="85"/>
    </row>
    <row r="59" spans="13:15" ht="14.25" customHeight="1" x14ac:dyDescent="0.25">
      <c r="M59" s="85"/>
      <c r="N59" s="85"/>
      <c r="O59" s="85"/>
    </row>
    <row r="60" spans="13:15" ht="14.25" customHeight="1" x14ac:dyDescent="0.25">
      <c r="M60" s="85"/>
      <c r="N60" s="85"/>
      <c r="O60" s="85"/>
    </row>
    <row r="61" spans="13:15" ht="14.25" customHeight="1" x14ac:dyDescent="0.25">
      <c r="M61" s="85"/>
      <c r="N61" s="85"/>
      <c r="O61" s="85"/>
    </row>
    <row r="62" spans="13:15" ht="14.25" customHeight="1" x14ac:dyDescent="0.25">
      <c r="M62" s="85"/>
      <c r="N62" s="85"/>
      <c r="O62" s="85"/>
    </row>
    <row r="63" spans="13:15" ht="14.25" customHeight="1" x14ac:dyDescent="0.25">
      <c r="M63" s="85"/>
      <c r="N63" s="85"/>
      <c r="O63" s="85"/>
    </row>
    <row r="64" spans="13:15" ht="14.25" customHeight="1" x14ac:dyDescent="0.25">
      <c r="M64" s="85"/>
      <c r="N64" s="85"/>
      <c r="O64" s="85"/>
    </row>
    <row r="65" spans="1:15" ht="14.25" customHeight="1" x14ac:dyDescent="0.25">
      <c r="M65" s="85"/>
      <c r="N65" s="85"/>
      <c r="O65" s="85"/>
    </row>
    <row r="66" spans="1:15" ht="14.25" customHeight="1" x14ac:dyDescent="0.25">
      <c r="M66" s="85"/>
      <c r="N66" s="85"/>
      <c r="O66" s="85"/>
    </row>
    <row r="67" spans="1:15" ht="14.25" customHeight="1" x14ac:dyDescent="0.25">
      <c r="M67" s="85"/>
      <c r="N67" s="85"/>
      <c r="O67" s="85"/>
    </row>
    <row r="68" spans="1:15" ht="14.25" customHeight="1" x14ac:dyDescent="0.25">
      <c r="M68" s="85"/>
      <c r="N68" s="85"/>
      <c r="O68" s="85"/>
    </row>
    <row r="69" spans="1:15" ht="14.25" customHeight="1" x14ac:dyDescent="0.25">
      <c r="M69" s="85"/>
      <c r="N69" s="85"/>
      <c r="O69" s="85"/>
    </row>
    <row r="70" spans="1:15" ht="14.25" customHeight="1" x14ac:dyDescent="0.25">
      <c r="A70" s="15"/>
    </row>
    <row r="71" spans="1:15" ht="14.25" customHeight="1" x14ac:dyDescent="0.25">
      <c r="A71" s="6"/>
    </row>
    <row r="72" spans="1:15" ht="14.25" customHeight="1" x14ac:dyDescent="0.25">
      <c r="A72" s="6"/>
    </row>
  </sheetData>
  <mergeCells count="20">
    <mergeCell ref="A2:M2"/>
    <mergeCell ref="J6:M6"/>
    <mergeCell ref="J1:M1"/>
    <mergeCell ref="A7:A15"/>
    <mergeCell ref="B7:B15"/>
    <mergeCell ref="C7:C15"/>
    <mergeCell ref="D7:D15"/>
    <mergeCell ref="E7:K7"/>
    <mergeCell ref="A3:M3"/>
    <mergeCell ref="A4:M4"/>
    <mergeCell ref="I8:I15"/>
    <mergeCell ref="J8:J15"/>
    <mergeCell ref="L7:L15"/>
    <mergeCell ref="M7:M15"/>
    <mergeCell ref="E8:E15"/>
    <mergeCell ref="F8:F15"/>
    <mergeCell ref="G8:G15"/>
    <mergeCell ref="H8:H15"/>
    <mergeCell ref="A5:M5"/>
    <mergeCell ref="K8:K15"/>
  </mergeCells>
  <printOptions horizontalCentered="1"/>
  <pageMargins left="0.11811023622047245" right="0.11811023622047245" top="0.15748031496062992" bottom="0.15748031496062992" header="0.31496062992125984" footer="0.31496062992125984"/>
  <pageSetup paperSize="9" scale="90"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sheetPr>
  <dimension ref="A1:K34"/>
  <sheetViews>
    <sheetView workbookViewId="0"/>
  </sheetViews>
  <sheetFormatPr defaultRowHeight="15" x14ac:dyDescent="0.25"/>
  <cols>
    <col min="1" max="1" width="5.28515625" customWidth="1"/>
    <col min="2" max="2" width="36.7109375" customWidth="1"/>
  </cols>
  <sheetData>
    <row r="1" spans="1:11" ht="15.75" x14ac:dyDescent="0.25">
      <c r="J1" s="551" t="s">
        <v>540</v>
      </c>
      <c r="K1" s="551"/>
    </row>
    <row r="2" spans="1:11" ht="42" customHeight="1" x14ac:dyDescent="0.25">
      <c r="A2" s="591" t="s">
        <v>541</v>
      </c>
      <c r="B2" s="591"/>
      <c r="C2" s="591"/>
      <c r="D2" s="591"/>
      <c r="E2" s="591"/>
      <c r="F2" s="591"/>
      <c r="G2" s="591"/>
      <c r="H2" s="591"/>
      <c r="I2" s="591"/>
      <c r="J2" s="591"/>
      <c r="K2" s="591"/>
    </row>
    <row r="3" spans="1:11" ht="15.75" x14ac:dyDescent="0.25">
      <c r="A3" s="551" t="s">
        <v>512</v>
      </c>
      <c r="B3" s="551"/>
      <c r="C3" s="551"/>
      <c r="D3" s="551"/>
      <c r="E3" s="551"/>
      <c r="F3" s="551"/>
      <c r="G3" s="551"/>
      <c r="H3" s="551"/>
      <c r="I3" s="551"/>
      <c r="J3" s="551"/>
      <c r="K3" s="551"/>
    </row>
    <row r="4" spans="1:11" ht="15.75" x14ac:dyDescent="0.25">
      <c r="K4" s="26" t="s">
        <v>56</v>
      </c>
    </row>
    <row r="5" spans="1:11" ht="22.5" customHeight="1" x14ac:dyDescent="0.25">
      <c r="A5" s="590" t="s">
        <v>3</v>
      </c>
      <c r="B5" s="590" t="s">
        <v>355</v>
      </c>
      <c r="C5" s="590" t="s">
        <v>356</v>
      </c>
      <c r="D5" s="590" t="s">
        <v>523</v>
      </c>
      <c r="E5" s="590"/>
      <c r="F5" s="590" t="s">
        <v>357</v>
      </c>
      <c r="G5" s="590" t="s">
        <v>523</v>
      </c>
      <c r="H5" s="590"/>
      <c r="I5" s="590" t="s">
        <v>374</v>
      </c>
      <c r="J5" s="590"/>
      <c r="K5" s="590"/>
    </row>
    <row r="6" spans="1:11" ht="74.25" customHeight="1" x14ac:dyDescent="0.25">
      <c r="A6" s="590"/>
      <c r="B6" s="590"/>
      <c r="C6" s="590"/>
      <c r="D6" s="28" t="s">
        <v>131</v>
      </c>
      <c r="E6" s="28" t="s">
        <v>132</v>
      </c>
      <c r="F6" s="590"/>
      <c r="G6" s="28" t="s">
        <v>131</v>
      </c>
      <c r="H6" s="28" t="s">
        <v>132</v>
      </c>
      <c r="I6" s="28" t="s">
        <v>542</v>
      </c>
      <c r="J6" s="28" t="s">
        <v>131</v>
      </c>
      <c r="K6" s="28" t="s">
        <v>132</v>
      </c>
    </row>
    <row r="7" spans="1:11" ht="15.75" x14ac:dyDescent="0.25">
      <c r="A7" s="28" t="s">
        <v>15</v>
      </c>
      <c r="B7" s="28" t="s">
        <v>16</v>
      </c>
      <c r="C7" s="28" t="s">
        <v>543</v>
      </c>
      <c r="D7" s="28">
        <v>2</v>
      </c>
      <c r="E7" s="28">
        <v>3</v>
      </c>
      <c r="F7" s="28" t="s">
        <v>544</v>
      </c>
      <c r="G7" s="28">
        <v>5</v>
      </c>
      <c r="H7" s="28">
        <v>6</v>
      </c>
      <c r="I7" s="28" t="s">
        <v>545</v>
      </c>
      <c r="J7" s="28" t="s">
        <v>546</v>
      </c>
      <c r="K7" s="28" t="s">
        <v>547</v>
      </c>
    </row>
    <row r="8" spans="1:11" ht="15.75" x14ac:dyDescent="0.25">
      <c r="A8" s="29"/>
      <c r="B8" s="30" t="s">
        <v>90</v>
      </c>
      <c r="C8" s="28"/>
      <c r="D8" s="28"/>
      <c r="E8" s="28"/>
      <c r="F8" s="28"/>
      <c r="G8" s="28"/>
      <c r="H8" s="28"/>
      <c r="I8" s="28"/>
      <c r="J8" s="28"/>
      <c r="K8" s="28"/>
    </row>
    <row r="9" spans="1:11" ht="15.75" x14ac:dyDescent="0.25">
      <c r="A9" s="29" t="s">
        <v>15</v>
      </c>
      <c r="B9" s="30" t="s">
        <v>416</v>
      </c>
      <c r="C9" s="28"/>
      <c r="D9" s="28"/>
      <c r="E9" s="28"/>
      <c r="F9" s="28"/>
      <c r="G9" s="28"/>
      <c r="H9" s="28"/>
      <c r="I9" s="28"/>
      <c r="J9" s="28"/>
      <c r="K9" s="28"/>
    </row>
    <row r="10" spans="1:11" ht="15.75" x14ac:dyDescent="0.25">
      <c r="A10" s="29" t="s">
        <v>83</v>
      </c>
      <c r="B10" s="30" t="s">
        <v>367</v>
      </c>
      <c r="C10" s="28"/>
      <c r="D10" s="28"/>
      <c r="E10" s="28"/>
      <c r="F10" s="28"/>
      <c r="G10" s="28"/>
      <c r="H10" s="28"/>
      <c r="I10" s="28"/>
      <c r="J10" s="28"/>
      <c r="K10" s="28"/>
    </row>
    <row r="11" spans="1:11" ht="15.75" x14ac:dyDescent="0.25">
      <c r="A11" s="28">
        <v>1</v>
      </c>
      <c r="B11" s="31" t="s">
        <v>417</v>
      </c>
      <c r="C11" s="28"/>
      <c r="D11" s="28"/>
      <c r="E11" s="28"/>
      <c r="F11" s="28"/>
      <c r="G11" s="28"/>
      <c r="H11" s="28"/>
      <c r="I11" s="28"/>
      <c r="J11" s="28"/>
      <c r="K11" s="28"/>
    </row>
    <row r="12" spans="1:11" ht="15.75" x14ac:dyDescent="0.25">
      <c r="A12" s="28"/>
      <c r="B12" s="32" t="s">
        <v>418</v>
      </c>
      <c r="C12" s="28"/>
      <c r="D12" s="28"/>
      <c r="E12" s="28"/>
      <c r="F12" s="28"/>
      <c r="G12" s="28"/>
      <c r="H12" s="28"/>
      <c r="I12" s="28"/>
      <c r="J12" s="28"/>
      <c r="K12" s="28"/>
    </row>
    <row r="13" spans="1:11" ht="15.75" x14ac:dyDescent="0.25">
      <c r="A13" s="28" t="s">
        <v>22</v>
      </c>
      <c r="B13" s="32" t="s">
        <v>419</v>
      </c>
      <c r="C13" s="28"/>
      <c r="D13" s="28"/>
      <c r="E13" s="28"/>
      <c r="F13" s="28"/>
      <c r="G13" s="28"/>
      <c r="H13" s="28"/>
      <c r="I13" s="28"/>
      <c r="J13" s="28"/>
      <c r="K13" s="28"/>
    </row>
    <row r="14" spans="1:11" ht="15.75" x14ac:dyDescent="0.25">
      <c r="A14" s="28" t="s">
        <v>22</v>
      </c>
      <c r="B14" s="32" t="s">
        <v>420</v>
      </c>
      <c r="C14" s="28"/>
      <c r="D14" s="28"/>
      <c r="E14" s="28"/>
      <c r="F14" s="28"/>
      <c r="G14" s="28"/>
      <c r="H14" s="28"/>
      <c r="I14" s="28"/>
      <c r="J14" s="28"/>
      <c r="K14" s="28"/>
    </row>
    <row r="15" spans="1:11" ht="15.75" x14ac:dyDescent="0.25">
      <c r="A15" s="28"/>
      <c r="B15" s="32" t="s">
        <v>421</v>
      </c>
      <c r="C15" s="28"/>
      <c r="D15" s="28"/>
      <c r="E15" s="28"/>
      <c r="F15" s="28"/>
      <c r="G15" s="28"/>
      <c r="H15" s="28"/>
      <c r="I15" s="28"/>
      <c r="J15" s="28"/>
      <c r="K15" s="28"/>
    </row>
    <row r="16" spans="1:11" ht="15.75" x14ac:dyDescent="0.25">
      <c r="A16" s="28" t="s">
        <v>22</v>
      </c>
      <c r="B16" s="31" t="s">
        <v>422</v>
      </c>
      <c r="C16" s="28"/>
      <c r="D16" s="28"/>
      <c r="E16" s="28"/>
      <c r="F16" s="28"/>
      <c r="G16" s="28"/>
      <c r="H16" s="28"/>
      <c r="I16" s="28"/>
      <c r="J16" s="28"/>
      <c r="K16" s="28"/>
    </row>
    <row r="17" spans="1:11" ht="15.75" x14ac:dyDescent="0.25">
      <c r="A17" s="28" t="s">
        <v>22</v>
      </c>
      <c r="B17" s="31" t="s">
        <v>548</v>
      </c>
      <c r="C17" s="28"/>
      <c r="D17" s="28"/>
      <c r="E17" s="28"/>
      <c r="F17" s="28"/>
      <c r="G17" s="28"/>
      <c r="H17" s="28"/>
      <c r="I17" s="28"/>
      <c r="J17" s="28"/>
      <c r="K17" s="28"/>
    </row>
    <row r="18" spans="1:11" ht="78.75" x14ac:dyDescent="0.25">
      <c r="A18" s="28">
        <v>2</v>
      </c>
      <c r="B18" s="31" t="s">
        <v>424</v>
      </c>
      <c r="C18" s="28"/>
      <c r="D18" s="28"/>
      <c r="E18" s="28"/>
      <c r="F18" s="28"/>
      <c r="G18" s="28"/>
      <c r="H18" s="28"/>
      <c r="I18" s="28"/>
      <c r="J18" s="28"/>
      <c r="K18" s="28"/>
    </row>
    <row r="19" spans="1:11" ht="15.75" x14ac:dyDescent="0.25">
      <c r="A19" s="28">
        <v>3</v>
      </c>
      <c r="B19" s="31" t="s">
        <v>425</v>
      </c>
      <c r="C19" s="28"/>
      <c r="D19" s="28"/>
      <c r="E19" s="28"/>
      <c r="F19" s="28"/>
      <c r="G19" s="28"/>
      <c r="H19" s="28"/>
      <c r="I19" s="28"/>
      <c r="J19" s="28"/>
      <c r="K19" s="28"/>
    </row>
    <row r="20" spans="1:11" ht="15.75" x14ac:dyDescent="0.25">
      <c r="A20" s="29" t="s">
        <v>70</v>
      </c>
      <c r="B20" s="30" t="s">
        <v>96</v>
      </c>
      <c r="C20" s="28"/>
      <c r="D20" s="28"/>
      <c r="E20" s="28"/>
      <c r="F20" s="28"/>
      <c r="G20" s="28"/>
      <c r="H20" s="28"/>
      <c r="I20" s="28"/>
      <c r="J20" s="28"/>
      <c r="K20" s="28"/>
    </row>
    <row r="21" spans="1:11" ht="15.75" x14ac:dyDescent="0.25">
      <c r="A21" s="28"/>
      <c r="B21" s="32" t="s">
        <v>134</v>
      </c>
      <c r="C21" s="28"/>
      <c r="D21" s="28"/>
      <c r="E21" s="28"/>
      <c r="F21" s="28"/>
      <c r="G21" s="28"/>
      <c r="H21" s="28"/>
      <c r="I21" s="28"/>
      <c r="J21" s="28"/>
      <c r="K21" s="28"/>
    </row>
    <row r="22" spans="1:11" ht="15.75" x14ac:dyDescent="0.25">
      <c r="A22" s="28">
        <v>1</v>
      </c>
      <c r="B22" s="32" t="s">
        <v>419</v>
      </c>
      <c r="C22" s="28"/>
      <c r="D22" s="28"/>
      <c r="E22" s="28"/>
      <c r="F22" s="28"/>
      <c r="G22" s="28"/>
      <c r="H22" s="28"/>
      <c r="I22" s="28"/>
      <c r="J22" s="28"/>
      <c r="K22" s="28"/>
    </row>
    <row r="23" spans="1:11" ht="15.75" x14ac:dyDescent="0.25">
      <c r="A23" s="28">
        <v>2</v>
      </c>
      <c r="B23" s="32" t="s">
        <v>420</v>
      </c>
      <c r="C23" s="28"/>
      <c r="D23" s="28"/>
      <c r="E23" s="28"/>
      <c r="F23" s="28"/>
      <c r="G23" s="28"/>
      <c r="H23" s="28"/>
      <c r="I23" s="28"/>
      <c r="J23" s="28"/>
      <c r="K23" s="28"/>
    </row>
    <row r="24" spans="1:11" ht="31.5" x14ac:dyDescent="0.25">
      <c r="A24" s="29" t="s">
        <v>73</v>
      </c>
      <c r="B24" s="30" t="s">
        <v>97</v>
      </c>
      <c r="C24" s="28"/>
      <c r="D24" s="28"/>
      <c r="E24" s="28"/>
      <c r="F24" s="28"/>
      <c r="G24" s="28"/>
      <c r="H24" s="28"/>
      <c r="I24" s="28"/>
      <c r="J24" s="28"/>
      <c r="K24" s="28"/>
    </row>
    <row r="25" spans="1:11" ht="15.75" x14ac:dyDescent="0.25">
      <c r="A25" s="29" t="s">
        <v>77</v>
      </c>
      <c r="B25" s="30" t="s">
        <v>246</v>
      </c>
      <c r="C25" s="28"/>
      <c r="D25" s="28"/>
      <c r="E25" s="28"/>
      <c r="F25" s="28"/>
      <c r="G25" s="28"/>
      <c r="H25" s="28"/>
      <c r="I25" s="28"/>
      <c r="J25" s="28"/>
      <c r="K25" s="28"/>
    </row>
    <row r="26" spans="1:11" ht="15.75" x14ac:dyDescent="0.25">
      <c r="A26" s="29" t="s">
        <v>113</v>
      </c>
      <c r="B26" s="30" t="s">
        <v>247</v>
      </c>
      <c r="C26" s="28"/>
      <c r="D26" s="28"/>
      <c r="E26" s="28"/>
      <c r="F26" s="28"/>
      <c r="G26" s="28"/>
      <c r="H26" s="28"/>
      <c r="I26" s="28"/>
      <c r="J26" s="28"/>
      <c r="K26" s="28"/>
    </row>
    <row r="27" spans="1:11" ht="15.75" x14ac:dyDescent="0.25">
      <c r="A27" s="29" t="s">
        <v>426</v>
      </c>
      <c r="B27" s="30" t="s">
        <v>98</v>
      </c>
      <c r="C27" s="28"/>
      <c r="D27" s="28"/>
      <c r="E27" s="28"/>
      <c r="F27" s="28"/>
      <c r="G27" s="28"/>
      <c r="H27" s="28"/>
      <c r="I27" s="28"/>
      <c r="J27" s="28"/>
      <c r="K27" s="28"/>
    </row>
    <row r="28" spans="1:11" ht="31.5" x14ac:dyDescent="0.25">
      <c r="A28" s="29" t="s">
        <v>16</v>
      </c>
      <c r="B28" s="30" t="s">
        <v>428</v>
      </c>
      <c r="C28" s="28"/>
      <c r="D28" s="28"/>
      <c r="E28" s="28"/>
      <c r="F28" s="28"/>
      <c r="G28" s="28"/>
      <c r="H28" s="28"/>
      <c r="I28" s="28"/>
      <c r="J28" s="28"/>
      <c r="K28" s="28"/>
    </row>
    <row r="29" spans="1:11" ht="31.5" x14ac:dyDescent="0.25">
      <c r="A29" s="29" t="s">
        <v>83</v>
      </c>
      <c r="B29" s="30" t="s">
        <v>249</v>
      </c>
      <c r="C29" s="28"/>
      <c r="D29" s="28"/>
      <c r="E29" s="28"/>
      <c r="F29" s="28"/>
      <c r="G29" s="28"/>
      <c r="H29" s="28"/>
      <c r="I29" s="28"/>
      <c r="J29" s="28"/>
      <c r="K29" s="28"/>
    </row>
    <row r="30" spans="1:11" ht="31.5" x14ac:dyDescent="0.25">
      <c r="A30" s="28"/>
      <c r="B30" s="31" t="s">
        <v>429</v>
      </c>
      <c r="C30" s="28"/>
      <c r="D30" s="28"/>
      <c r="E30" s="28"/>
      <c r="F30" s="28"/>
      <c r="G30" s="28"/>
      <c r="H30" s="28"/>
      <c r="I30" s="28"/>
      <c r="J30" s="28"/>
      <c r="K30" s="28"/>
    </row>
    <row r="31" spans="1:11" ht="31.5" x14ac:dyDescent="0.25">
      <c r="A31" s="29" t="s">
        <v>70</v>
      </c>
      <c r="B31" s="30" t="s">
        <v>250</v>
      </c>
      <c r="C31" s="28"/>
      <c r="D31" s="28"/>
      <c r="E31" s="28"/>
      <c r="F31" s="28"/>
      <c r="G31" s="28"/>
      <c r="H31" s="28"/>
      <c r="I31" s="28"/>
      <c r="J31" s="28"/>
      <c r="K31" s="28"/>
    </row>
    <row r="32" spans="1:11" ht="31.5" x14ac:dyDescent="0.25">
      <c r="A32" s="28"/>
      <c r="B32" s="31" t="s">
        <v>430</v>
      </c>
      <c r="C32" s="28"/>
      <c r="D32" s="28"/>
      <c r="E32" s="28"/>
      <c r="F32" s="28"/>
      <c r="G32" s="28"/>
      <c r="H32" s="28"/>
      <c r="I32" s="28"/>
      <c r="J32" s="28"/>
      <c r="K32" s="28"/>
    </row>
    <row r="33" spans="1:11" ht="31.5" x14ac:dyDescent="0.25">
      <c r="A33" s="29" t="s">
        <v>79</v>
      </c>
      <c r="B33" s="30" t="s">
        <v>476</v>
      </c>
      <c r="C33" s="28"/>
      <c r="D33" s="28"/>
      <c r="E33" s="28"/>
      <c r="F33" s="28"/>
      <c r="G33" s="28"/>
      <c r="H33" s="28"/>
      <c r="I33" s="28"/>
      <c r="J33" s="28"/>
      <c r="K33" s="28"/>
    </row>
    <row r="34" spans="1:11" ht="15.75" x14ac:dyDescent="0.25">
      <c r="A34" s="592" t="s">
        <v>549</v>
      </c>
      <c r="B34" s="592"/>
      <c r="C34" s="592"/>
      <c r="D34" s="592"/>
      <c r="E34" s="592"/>
      <c r="F34" s="592"/>
      <c r="G34" s="592"/>
      <c r="H34" s="592"/>
      <c r="I34" s="592"/>
      <c r="J34" s="592"/>
      <c r="K34" s="592"/>
    </row>
  </sheetData>
  <mergeCells count="11">
    <mergeCell ref="A34:K34"/>
    <mergeCell ref="A5:A6"/>
    <mergeCell ref="B5:B6"/>
    <mergeCell ref="C5:C6"/>
    <mergeCell ref="D5:E5"/>
    <mergeCell ref="F5:F6"/>
    <mergeCell ref="G5:H5"/>
    <mergeCell ref="I5:K5"/>
    <mergeCell ref="J1:K1"/>
    <mergeCell ref="A2:K2"/>
    <mergeCell ref="A3:K3"/>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F49"/>
  <sheetViews>
    <sheetView workbookViewId="0"/>
  </sheetViews>
  <sheetFormatPr defaultRowHeight="15" x14ac:dyDescent="0.25"/>
  <cols>
    <col min="1" max="1" width="5.5703125" customWidth="1"/>
    <col min="2" max="2" width="55.7109375" customWidth="1"/>
  </cols>
  <sheetData>
    <row r="1" spans="1:6" ht="15.75" x14ac:dyDescent="0.25">
      <c r="F1" s="25" t="s">
        <v>550</v>
      </c>
    </row>
    <row r="2" spans="1:6" ht="29.25" customHeight="1" x14ac:dyDescent="0.25">
      <c r="A2" s="594" t="s">
        <v>551</v>
      </c>
      <c r="B2" s="594"/>
      <c r="C2" s="594"/>
      <c r="D2" s="594"/>
      <c r="E2" s="594"/>
      <c r="F2" s="594"/>
    </row>
    <row r="3" spans="1:6" ht="20.25" customHeight="1" x14ac:dyDescent="0.25">
      <c r="A3" s="551" t="s">
        <v>126</v>
      </c>
      <c r="B3" s="551"/>
      <c r="C3" s="551"/>
      <c r="D3" s="551"/>
      <c r="E3" s="551"/>
      <c r="F3" s="551"/>
    </row>
    <row r="4" spans="1:6" ht="19.5" customHeight="1" x14ac:dyDescent="0.25">
      <c r="F4" s="26" t="s">
        <v>56</v>
      </c>
    </row>
    <row r="5" spans="1:6" ht="15.75" x14ac:dyDescent="0.25">
      <c r="A5" s="595" t="s">
        <v>3</v>
      </c>
      <c r="B5" s="595" t="s">
        <v>4</v>
      </c>
      <c r="C5" s="595" t="s">
        <v>356</v>
      </c>
      <c r="D5" s="595" t="s">
        <v>357</v>
      </c>
      <c r="E5" s="595" t="s">
        <v>229</v>
      </c>
      <c r="F5" s="595"/>
    </row>
    <row r="6" spans="1:6" ht="54.75" customHeight="1" x14ac:dyDescent="0.25">
      <c r="A6" s="595"/>
      <c r="B6" s="595"/>
      <c r="C6" s="595"/>
      <c r="D6" s="595"/>
      <c r="E6" s="29" t="s">
        <v>233</v>
      </c>
      <c r="F6" s="29" t="s">
        <v>415</v>
      </c>
    </row>
    <row r="7" spans="1:6" ht="15.75" x14ac:dyDescent="0.25">
      <c r="A7" s="29" t="s">
        <v>15</v>
      </c>
      <c r="B7" s="29" t="s">
        <v>16</v>
      </c>
      <c r="C7" s="29">
        <v>1</v>
      </c>
      <c r="D7" s="29">
        <v>2</v>
      </c>
      <c r="E7" s="29" t="s">
        <v>359</v>
      </c>
      <c r="F7" s="29" t="s">
        <v>360</v>
      </c>
    </row>
    <row r="8" spans="1:6" ht="15.75" x14ac:dyDescent="0.25">
      <c r="A8" s="29"/>
      <c r="B8" s="30" t="s">
        <v>90</v>
      </c>
      <c r="C8" s="28"/>
      <c r="D8" s="28"/>
      <c r="E8" s="28"/>
      <c r="F8" s="28"/>
    </row>
    <row r="9" spans="1:6" ht="31.5" x14ac:dyDescent="0.25">
      <c r="A9" s="29" t="s">
        <v>15</v>
      </c>
      <c r="B9" s="30" t="s">
        <v>552</v>
      </c>
      <c r="C9" s="28"/>
      <c r="D9" s="28"/>
      <c r="E9" s="28"/>
      <c r="F9" s="28"/>
    </row>
    <row r="10" spans="1:6" ht="31.5" x14ac:dyDescent="0.25">
      <c r="A10" s="29" t="s">
        <v>16</v>
      </c>
      <c r="B10" s="30" t="s">
        <v>553</v>
      </c>
      <c r="C10" s="28"/>
      <c r="D10" s="28"/>
      <c r="E10" s="28"/>
      <c r="F10" s="28"/>
    </row>
    <row r="11" spans="1:6" ht="15.75" x14ac:dyDescent="0.25">
      <c r="A11" s="29" t="s">
        <v>83</v>
      </c>
      <c r="B11" s="30" t="s">
        <v>554</v>
      </c>
      <c r="C11" s="28"/>
      <c r="D11" s="28"/>
      <c r="E11" s="28"/>
      <c r="F11" s="28"/>
    </row>
    <row r="12" spans="1:6" ht="15.75" x14ac:dyDescent="0.25">
      <c r="A12" s="28">
        <v>1</v>
      </c>
      <c r="B12" s="31" t="s">
        <v>417</v>
      </c>
      <c r="C12" s="28"/>
      <c r="D12" s="28"/>
      <c r="E12" s="28"/>
      <c r="F12" s="28"/>
    </row>
    <row r="13" spans="1:6" ht="15.75" x14ac:dyDescent="0.25">
      <c r="A13" s="28" t="s">
        <v>22</v>
      </c>
      <c r="B13" s="31" t="s">
        <v>419</v>
      </c>
      <c r="C13" s="28"/>
      <c r="D13" s="28"/>
      <c r="E13" s="28"/>
      <c r="F13" s="28"/>
    </row>
    <row r="14" spans="1:6" ht="15.75" x14ac:dyDescent="0.25">
      <c r="A14" s="28" t="s">
        <v>22</v>
      </c>
      <c r="B14" s="31" t="s">
        <v>420</v>
      </c>
      <c r="C14" s="28"/>
      <c r="D14" s="28"/>
      <c r="E14" s="28"/>
      <c r="F14" s="28"/>
    </row>
    <row r="15" spans="1:6" ht="15.75" x14ac:dyDescent="0.25">
      <c r="A15" s="28" t="s">
        <v>22</v>
      </c>
      <c r="B15" s="31" t="s">
        <v>555</v>
      </c>
      <c r="C15" s="28"/>
      <c r="D15" s="28"/>
      <c r="E15" s="28"/>
      <c r="F15" s="28"/>
    </row>
    <row r="16" spans="1:6" ht="15.75" x14ac:dyDescent="0.25">
      <c r="A16" s="28" t="s">
        <v>22</v>
      </c>
      <c r="B16" s="31" t="s">
        <v>556</v>
      </c>
      <c r="C16" s="28"/>
      <c r="D16" s="28"/>
      <c r="E16" s="28"/>
      <c r="F16" s="28"/>
    </row>
    <row r="17" spans="1:6" ht="15.75" x14ac:dyDescent="0.25">
      <c r="A17" s="28" t="s">
        <v>22</v>
      </c>
      <c r="B17" s="31" t="s">
        <v>557</v>
      </c>
      <c r="C17" s="28"/>
      <c r="D17" s="28"/>
      <c r="E17" s="28"/>
      <c r="F17" s="28"/>
    </row>
    <row r="18" spans="1:6" ht="15.75" x14ac:dyDescent="0.25">
      <c r="A18" s="28" t="s">
        <v>22</v>
      </c>
      <c r="B18" s="31" t="s">
        <v>558</v>
      </c>
      <c r="C18" s="28"/>
      <c r="D18" s="28"/>
      <c r="E18" s="28"/>
      <c r="F18" s="28"/>
    </row>
    <row r="19" spans="1:6" ht="15.75" x14ac:dyDescent="0.25">
      <c r="A19" s="28" t="s">
        <v>22</v>
      </c>
      <c r="B19" s="31" t="s">
        <v>559</v>
      </c>
      <c r="C19" s="28"/>
      <c r="D19" s="28"/>
      <c r="E19" s="28"/>
      <c r="F19" s="28"/>
    </row>
    <row r="20" spans="1:6" ht="15.75" x14ac:dyDescent="0.25">
      <c r="A20" s="28" t="s">
        <v>22</v>
      </c>
      <c r="B20" s="31" t="s">
        <v>560</v>
      </c>
      <c r="C20" s="28"/>
      <c r="D20" s="28"/>
      <c r="E20" s="28"/>
      <c r="F20" s="28"/>
    </row>
    <row r="21" spans="1:6" ht="15.75" x14ac:dyDescent="0.25">
      <c r="A21" s="28" t="s">
        <v>22</v>
      </c>
      <c r="B21" s="31" t="s">
        <v>561</v>
      </c>
      <c r="C21" s="28"/>
      <c r="D21" s="28"/>
      <c r="E21" s="28"/>
      <c r="F21" s="28"/>
    </row>
    <row r="22" spans="1:6" ht="15.75" x14ac:dyDescent="0.25">
      <c r="A22" s="28" t="s">
        <v>22</v>
      </c>
      <c r="B22" s="31" t="s">
        <v>562</v>
      </c>
      <c r="C22" s="28"/>
      <c r="D22" s="28"/>
      <c r="E22" s="28"/>
      <c r="F22" s="28"/>
    </row>
    <row r="23" spans="1:6" ht="15.75" x14ac:dyDescent="0.25">
      <c r="A23" s="28" t="s">
        <v>22</v>
      </c>
      <c r="B23" s="31" t="s">
        <v>563</v>
      </c>
      <c r="C23" s="28"/>
      <c r="D23" s="28"/>
      <c r="E23" s="28"/>
      <c r="F23" s="28"/>
    </row>
    <row r="24" spans="1:6" ht="15.75" x14ac:dyDescent="0.25">
      <c r="A24" s="28" t="s">
        <v>22</v>
      </c>
      <c r="B24" s="31" t="s">
        <v>564</v>
      </c>
      <c r="C24" s="28"/>
      <c r="D24" s="28"/>
      <c r="E24" s="28"/>
      <c r="F24" s="28"/>
    </row>
    <row r="25" spans="1:6" ht="15.75" x14ac:dyDescent="0.25">
      <c r="A25" s="28" t="s">
        <v>22</v>
      </c>
      <c r="B25" s="31" t="s">
        <v>565</v>
      </c>
      <c r="C25" s="28"/>
      <c r="D25" s="28"/>
      <c r="E25" s="28"/>
      <c r="F25" s="28"/>
    </row>
    <row r="26" spans="1:6" ht="63" x14ac:dyDescent="0.25">
      <c r="A26" s="28">
        <v>2</v>
      </c>
      <c r="B26" s="31" t="s">
        <v>424</v>
      </c>
      <c r="C26" s="28"/>
      <c r="D26" s="28"/>
      <c r="E26" s="28"/>
      <c r="F26" s="28"/>
    </row>
    <row r="27" spans="1:6" ht="15.75" x14ac:dyDescent="0.25">
      <c r="A27" s="28">
        <v>3</v>
      </c>
      <c r="B27" s="31" t="s">
        <v>425</v>
      </c>
      <c r="C27" s="28"/>
      <c r="D27" s="28"/>
      <c r="E27" s="28"/>
      <c r="F27" s="28"/>
    </row>
    <row r="28" spans="1:6" ht="15.75" x14ac:dyDescent="0.25">
      <c r="A28" s="29" t="s">
        <v>70</v>
      </c>
      <c r="B28" s="30" t="s">
        <v>96</v>
      </c>
      <c r="C28" s="28"/>
      <c r="D28" s="28"/>
      <c r="E28" s="28"/>
      <c r="F28" s="28"/>
    </row>
    <row r="29" spans="1:6" ht="15.75" x14ac:dyDescent="0.25">
      <c r="A29" s="28" t="s">
        <v>22</v>
      </c>
      <c r="B29" s="31" t="s">
        <v>419</v>
      </c>
      <c r="C29" s="28"/>
      <c r="D29" s="28"/>
      <c r="E29" s="28"/>
      <c r="F29" s="28"/>
    </row>
    <row r="30" spans="1:6" ht="15.75" x14ac:dyDescent="0.25">
      <c r="A30" s="28" t="s">
        <v>22</v>
      </c>
      <c r="B30" s="31" t="s">
        <v>475</v>
      </c>
      <c r="C30" s="28"/>
      <c r="D30" s="28"/>
      <c r="E30" s="28"/>
      <c r="F30" s="28"/>
    </row>
    <row r="31" spans="1:6" ht="15.75" x14ac:dyDescent="0.25">
      <c r="A31" s="28" t="s">
        <v>22</v>
      </c>
      <c r="B31" s="31" t="s">
        <v>555</v>
      </c>
      <c r="C31" s="28"/>
      <c r="D31" s="28"/>
      <c r="E31" s="28"/>
      <c r="F31" s="28"/>
    </row>
    <row r="32" spans="1:6" ht="15.75" x14ac:dyDescent="0.25">
      <c r="A32" s="28" t="s">
        <v>22</v>
      </c>
      <c r="B32" s="31" t="s">
        <v>556</v>
      </c>
      <c r="C32" s="28"/>
      <c r="D32" s="28"/>
      <c r="E32" s="28"/>
      <c r="F32" s="28"/>
    </row>
    <row r="33" spans="1:6" ht="15.75" x14ac:dyDescent="0.25">
      <c r="A33" s="28" t="s">
        <v>22</v>
      </c>
      <c r="B33" s="31" t="s">
        <v>557</v>
      </c>
      <c r="C33" s="28"/>
      <c r="D33" s="28"/>
      <c r="E33" s="28"/>
      <c r="F33" s="28"/>
    </row>
    <row r="34" spans="1:6" ht="15.75" x14ac:dyDescent="0.25">
      <c r="A34" s="28" t="s">
        <v>22</v>
      </c>
      <c r="B34" s="31" t="s">
        <v>558</v>
      </c>
      <c r="C34" s="28"/>
      <c r="D34" s="28"/>
      <c r="E34" s="28"/>
      <c r="F34" s="28"/>
    </row>
    <row r="35" spans="1:6" ht="15.75" x14ac:dyDescent="0.25">
      <c r="A35" s="28" t="s">
        <v>22</v>
      </c>
      <c r="B35" s="31" t="s">
        <v>559</v>
      </c>
      <c r="C35" s="28"/>
      <c r="D35" s="28"/>
      <c r="E35" s="28"/>
      <c r="F35" s="28"/>
    </row>
    <row r="36" spans="1:6" ht="15.75" x14ac:dyDescent="0.25">
      <c r="A36" s="28" t="s">
        <v>22</v>
      </c>
      <c r="B36" s="31" t="s">
        <v>560</v>
      </c>
      <c r="C36" s="28"/>
      <c r="D36" s="28"/>
      <c r="E36" s="28"/>
      <c r="F36" s="28"/>
    </row>
    <row r="37" spans="1:6" ht="15.75" x14ac:dyDescent="0.25">
      <c r="A37" s="28" t="s">
        <v>22</v>
      </c>
      <c r="B37" s="31" t="s">
        <v>561</v>
      </c>
      <c r="C37" s="28"/>
      <c r="D37" s="28"/>
      <c r="E37" s="28"/>
      <c r="F37" s="28"/>
    </row>
    <row r="38" spans="1:6" ht="15.75" x14ac:dyDescent="0.25">
      <c r="A38" s="28" t="s">
        <v>22</v>
      </c>
      <c r="B38" s="31" t="s">
        <v>562</v>
      </c>
      <c r="C38" s="28"/>
      <c r="D38" s="28"/>
      <c r="E38" s="28"/>
      <c r="F38" s="28"/>
    </row>
    <row r="39" spans="1:6" ht="15.75" x14ac:dyDescent="0.25">
      <c r="A39" s="28" t="s">
        <v>22</v>
      </c>
      <c r="B39" s="31" t="s">
        <v>563</v>
      </c>
      <c r="C39" s="28"/>
      <c r="D39" s="28"/>
      <c r="E39" s="28"/>
      <c r="F39" s="28"/>
    </row>
    <row r="40" spans="1:6" ht="15.75" x14ac:dyDescent="0.25">
      <c r="A40" s="28" t="s">
        <v>22</v>
      </c>
      <c r="B40" s="31" t="s">
        <v>564</v>
      </c>
      <c r="C40" s="28"/>
      <c r="D40" s="28"/>
      <c r="E40" s="28"/>
      <c r="F40" s="28"/>
    </row>
    <row r="41" spans="1:6" ht="15.75" x14ac:dyDescent="0.25">
      <c r="A41" s="28" t="s">
        <v>22</v>
      </c>
      <c r="B41" s="31" t="s">
        <v>566</v>
      </c>
      <c r="C41" s="28"/>
      <c r="D41" s="28"/>
      <c r="E41" s="28"/>
      <c r="F41" s="28"/>
    </row>
    <row r="42" spans="1:6" ht="31.5" x14ac:dyDescent="0.25">
      <c r="A42" s="29" t="s">
        <v>73</v>
      </c>
      <c r="B42" s="30" t="s">
        <v>438</v>
      </c>
      <c r="C42" s="28"/>
      <c r="D42" s="28"/>
      <c r="E42" s="28"/>
      <c r="F42" s="28"/>
    </row>
    <row r="43" spans="1:6" ht="15.75" x14ac:dyDescent="0.25">
      <c r="A43" s="29" t="s">
        <v>77</v>
      </c>
      <c r="B43" s="30" t="s">
        <v>439</v>
      </c>
      <c r="C43" s="28"/>
      <c r="D43" s="28"/>
      <c r="E43" s="28"/>
      <c r="F43" s="28"/>
    </row>
    <row r="44" spans="1:6" ht="15.75" x14ac:dyDescent="0.25">
      <c r="A44" s="29" t="s">
        <v>113</v>
      </c>
      <c r="B44" s="30" t="s">
        <v>247</v>
      </c>
      <c r="C44" s="28"/>
      <c r="D44" s="28"/>
      <c r="E44" s="28"/>
      <c r="F44" s="28"/>
    </row>
    <row r="45" spans="1:6" ht="15.75" x14ac:dyDescent="0.25">
      <c r="A45" s="29" t="s">
        <v>426</v>
      </c>
      <c r="B45" s="30" t="s">
        <v>98</v>
      </c>
      <c r="C45" s="28"/>
      <c r="D45" s="28"/>
      <c r="E45" s="28"/>
      <c r="F45" s="28"/>
    </row>
    <row r="46" spans="1:6" ht="15.75" x14ac:dyDescent="0.25">
      <c r="A46" s="29" t="s">
        <v>79</v>
      </c>
      <c r="B46" s="30" t="s">
        <v>476</v>
      </c>
      <c r="C46" s="28"/>
      <c r="D46" s="28"/>
      <c r="E46" s="28"/>
      <c r="F46" s="28"/>
    </row>
    <row r="47" spans="1:6" ht="18.75" customHeight="1" x14ac:dyDescent="0.25">
      <c r="A47" s="34" t="s">
        <v>288</v>
      </c>
    </row>
    <row r="48" spans="1:6" ht="15.75" x14ac:dyDescent="0.25">
      <c r="A48" s="596" t="s">
        <v>568</v>
      </c>
      <c r="B48" s="596"/>
      <c r="C48" s="596"/>
      <c r="D48" s="596"/>
      <c r="E48" s="596"/>
      <c r="F48" s="596"/>
    </row>
    <row r="49" spans="1:6" ht="15.75" x14ac:dyDescent="0.25">
      <c r="A49" s="593" t="s">
        <v>567</v>
      </c>
      <c r="B49" s="593"/>
      <c r="C49" s="593"/>
      <c r="D49" s="593"/>
      <c r="E49" s="593"/>
      <c r="F49" s="593"/>
    </row>
  </sheetData>
  <mergeCells count="9">
    <mergeCell ref="A49:F49"/>
    <mergeCell ref="A2:F2"/>
    <mergeCell ref="A3:F3"/>
    <mergeCell ref="A5:A6"/>
    <mergeCell ref="B5:B6"/>
    <mergeCell ref="C5:C6"/>
    <mergeCell ref="D5:D6"/>
    <mergeCell ref="E5:F5"/>
    <mergeCell ref="A48:F4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sheetPr>
  <dimension ref="A1:K19"/>
  <sheetViews>
    <sheetView workbookViewId="0"/>
  </sheetViews>
  <sheetFormatPr defaultRowHeight="15" x14ac:dyDescent="0.25"/>
  <cols>
    <col min="1" max="1" width="5.5703125" customWidth="1"/>
    <col min="2" max="2" width="36.5703125" customWidth="1"/>
  </cols>
  <sheetData>
    <row r="1" spans="1:11" ht="15.75" x14ac:dyDescent="0.25">
      <c r="K1" s="25" t="s">
        <v>569</v>
      </c>
    </row>
    <row r="2" spans="1:11" ht="15.75" x14ac:dyDescent="0.25">
      <c r="A2" s="594" t="s">
        <v>570</v>
      </c>
      <c r="B2" s="594"/>
      <c r="C2" s="594"/>
      <c r="D2" s="594"/>
      <c r="E2" s="594"/>
      <c r="F2" s="594"/>
      <c r="G2" s="594"/>
      <c r="H2" s="594"/>
      <c r="I2" s="594"/>
      <c r="J2" s="594"/>
      <c r="K2" s="594"/>
    </row>
    <row r="3" spans="1:11" ht="15.75" x14ac:dyDescent="0.25">
      <c r="A3" s="551" t="s">
        <v>126</v>
      </c>
      <c r="B3" s="551"/>
      <c r="C3" s="551"/>
      <c r="D3" s="551"/>
      <c r="E3" s="551"/>
      <c r="F3" s="551"/>
      <c r="G3" s="551"/>
      <c r="H3" s="551"/>
      <c r="I3" s="551"/>
      <c r="J3" s="551"/>
      <c r="K3" s="551"/>
    </row>
    <row r="4" spans="1:11" ht="15.75" x14ac:dyDescent="0.25">
      <c r="K4" s="26" t="s">
        <v>56</v>
      </c>
    </row>
    <row r="5" spans="1:11" ht="29.25" customHeight="1" x14ac:dyDescent="0.25">
      <c r="A5" s="595" t="s">
        <v>3</v>
      </c>
      <c r="B5" s="595" t="s">
        <v>161</v>
      </c>
      <c r="C5" s="595" t="s">
        <v>130</v>
      </c>
      <c r="D5" s="595" t="s">
        <v>367</v>
      </c>
      <c r="E5" s="595" t="s">
        <v>96</v>
      </c>
      <c r="F5" s="595" t="s">
        <v>571</v>
      </c>
      <c r="G5" s="595" t="s">
        <v>572</v>
      </c>
      <c r="H5" s="595" t="s">
        <v>573</v>
      </c>
      <c r="I5" s="595"/>
      <c r="J5" s="595"/>
      <c r="K5" s="595" t="s">
        <v>574</v>
      </c>
    </row>
    <row r="6" spans="1:11" ht="108" customHeight="1" x14ac:dyDescent="0.25">
      <c r="A6" s="595"/>
      <c r="B6" s="595"/>
      <c r="C6" s="595"/>
      <c r="D6" s="595"/>
      <c r="E6" s="595"/>
      <c r="F6" s="595"/>
      <c r="G6" s="595"/>
      <c r="H6" s="29" t="s">
        <v>130</v>
      </c>
      <c r="I6" s="29" t="s">
        <v>367</v>
      </c>
      <c r="J6" s="29" t="s">
        <v>96</v>
      </c>
      <c r="K6" s="595"/>
    </row>
    <row r="7" spans="1:11" ht="15.75" x14ac:dyDescent="0.25">
      <c r="A7" s="29" t="s">
        <v>15</v>
      </c>
      <c r="B7" s="29" t="s">
        <v>16</v>
      </c>
      <c r="C7" s="29">
        <v>1</v>
      </c>
      <c r="D7" s="29">
        <v>2</v>
      </c>
      <c r="E7" s="29">
        <v>3</v>
      </c>
      <c r="F7" s="29">
        <v>4</v>
      </c>
      <c r="G7" s="29">
        <v>5</v>
      </c>
      <c r="H7" s="29">
        <v>6</v>
      </c>
      <c r="I7" s="29">
        <v>7</v>
      </c>
      <c r="J7" s="29">
        <v>8</v>
      </c>
      <c r="K7" s="29">
        <v>9</v>
      </c>
    </row>
    <row r="8" spans="1:11" ht="15.75" x14ac:dyDescent="0.25">
      <c r="A8" s="29"/>
      <c r="B8" s="30" t="s">
        <v>133</v>
      </c>
      <c r="C8" s="28"/>
      <c r="D8" s="28"/>
      <c r="E8" s="28"/>
      <c r="F8" s="28"/>
      <c r="G8" s="28"/>
      <c r="H8" s="28"/>
      <c r="I8" s="28"/>
      <c r="J8" s="28"/>
      <c r="K8" s="28"/>
    </row>
    <row r="9" spans="1:11" ht="15.75" x14ac:dyDescent="0.25">
      <c r="A9" s="29" t="s">
        <v>83</v>
      </c>
      <c r="B9" s="30" t="s">
        <v>575</v>
      </c>
      <c r="C9" s="28"/>
      <c r="D9" s="28"/>
      <c r="E9" s="28"/>
      <c r="F9" s="28"/>
      <c r="G9" s="28"/>
      <c r="H9" s="28"/>
      <c r="I9" s="28"/>
      <c r="J9" s="28"/>
      <c r="K9" s="28"/>
    </row>
    <row r="10" spans="1:11" ht="15.75" x14ac:dyDescent="0.25">
      <c r="A10" s="29">
        <v>1</v>
      </c>
      <c r="B10" s="30" t="s">
        <v>166</v>
      </c>
      <c r="C10" s="28"/>
      <c r="D10" s="28"/>
      <c r="E10" s="28"/>
      <c r="F10" s="28"/>
      <c r="G10" s="28"/>
      <c r="H10" s="28"/>
      <c r="I10" s="28"/>
      <c r="J10" s="28"/>
      <c r="K10" s="28"/>
    </row>
    <row r="11" spans="1:11" ht="15.75" x14ac:dyDescent="0.25">
      <c r="A11" s="29">
        <v>2</v>
      </c>
      <c r="B11" s="30" t="s">
        <v>167</v>
      </c>
      <c r="C11" s="28"/>
      <c r="D11" s="28"/>
      <c r="E11" s="28"/>
      <c r="F11" s="28"/>
      <c r="G11" s="28"/>
      <c r="H11" s="28"/>
      <c r="I11" s="28"/>
      <c r="J11" s="28"/>
      <c r="K11" s="28"/>
    </row>
    <row r="12" spans="1:11" ht="15.75" x14ac:dyDescent="0.25">
      <c r="A12" s="29">
        <v>3</v>
      </c>
      <c r="B12" s="30" t="s">
        <v>576</v>
      </c>
      <c r="C12" s="28"/>
      <c r="D12" s="28"/>
      <c r="E12" s="28"/>
      <c r="F12" s="28"/>
      <c r="G12" s="28"/>
      <c r="H12" s="28"/>
      <c r="I12" s="28"/>
      <c r="J12" s="28"/>
      <c r="K12" s="28"/>
    </row>
    <row r="13" spans="1:11" ht="47.25" x14ac:dyDescent="0.25">
      <c r="A13" s="29" t="s">
        <v>70</v>
      </c>
      <c r="B13" s="30" t="s">
        <v>577</v>
      </c>
      <c r="C13" s="28"/>
      <c r="D13" s="28"/>
      <c r="E13" s="28"/>
      <c r="F13" s="28"/>
      <c r="G13" s="28"/>
      <c r="H13" s="28"/>
      <c r="I13" s="28"/>
      <c r="J13" s="28"/>
      <c r="K13" s="28"/>
    </row>
    <row r="14" spans="1:11" ht="31.5" x14ac:dyDescent="0.25">
      <c r="A14" s="29" t="s">
        <v>73</v>
      </c>
      <c r="B14" s="30" t="s">
        <v>578</v>
      </c>
      <c r="C14" s="28"/>
      <c r="D14" s="28"/>
      <c r="E14" s="28"/>
      <c r="F14" s="28"/>
      <c r="G14" s="28"/>
      <c r="H14" s="28"/>
      <c r="I14" s="28"/>
      <c r="J14" s="28"/>
      <c r="K14" s="28"/>
    </row>
    <row r="15" spans="1:11" ht="31.5" x14ac:dyDescent="0.25">
      <c r="A15" s="29" t="s">
        <v>77</v>
      </c>
      <c r="B15" s="30" t="s">
        <v>579</v>
      </c>
      <c r="C15" s="28"/>
      <c r="D15" s="28"/>
      <c r="E15" s="28"/>
      <c r="F15" s="28"/>
      <c r="G15" s="28"/>
      <c r="H15" s="28"/>
      <c r="I15" s="28"/>
      <c r="J15" s="28"/>
      <c r="K15" s="28"/>
    </row>
    <row r="16" spans="1:11" ht="31.5" x14ac:dyDescent="0.25">
      <c r="A16" s="29" t="s">
        <v>113</v>
      </c>
      <c r="B16" s="30" t="s">
        <v>580</v>
      </c>
      <c r="C16" s="28"/>
      <c r="D16" s="28"/>
      <c r="E16" s="28"/>
      <c r="F16" s="28"/>
      <c r="G16" s="28"/>
      <c r="H16" s="28"/>
      <c r="I16" s="28"/>
      <c r="J16" s="28"/>
      <c r="K16" s="28"/>
    </row>
    <row r="17" spans="1:11" ht="15.75" x14ac:dyDescent="0.25">
      <c r="A17" s="27" t="s">
        <v>582</v>
      </c>
    </row>
    <row r="18" spans="1:11" ht="30.75" customHeight="1" x14ac:dyDescent="0.25">
      <c r="A18" s="593" t="s">
        <v>583</v>
      </c>
      <c r="B18" s="593"/>
      <c r="C18" s="593"/>
      <c r="D18" s="593"/>
      <c r="E18" s="593"/>
      <c r="F18" s="593"/>
      <c r="G18" s="593"/>
      <c r="H18" s="593"/>
      <c r="I18" s="593"/>
      <c r="J18" s="593"/>
      <c r="K18" s="593"/>
    </row>
    <row r="19" spans="1:11" ht="15.75" x14ac:dyDescent="0.25">
      <c r="A19" s="596" t="s">
        <v>581</v>
      </c>
      <c r="B19" s="596"/>
      <c r="C19" s="596"/>
      <c r="D19" s="596"/>
      <c r="E19" s="596"/>
      <c r="F19" s="596"/>
      <c r="G19" s="596"/>
      <c r="H19" s="596"/>
      <c r="I19" s="596"/>
      <c r="J19" s="596"/>
      <c r="K19" s="596"/>
    </row>
  </sheetData>
  <mergeCells count="13">
    <mergeCell ref="A2:K2"/>
    <mergeCell ref="A3:K3"/>
    <mergeCell ref="A18:K18"/>
    <mergeCell ref="A5:A6"/>
    <mergeCell ref="B5:B6"/>
    <mergeCell ref="C5:C6"/>
    <mergeCell ref="D5:D6"/>
    <mergeCell ref="E5:E6"/>
    <mergeCell ref="F5:F6"/>
    <mergeCell ref="A19:K19"/>
    <mergeCell ref="G5:G6"/>
    <mergeCell ref="H5:J5"/>
    <mergeCell ref="K5:K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0000"/>
  </sheetPr>
  <dimension ref="A1:R12"/>
  <sheetViews>
    <sheetView workbookViewId="0"/>
  </sheetViews>
  <sheetFormatPr defaultRowHeight="15" x14ac:dyDescent="0.25"/>
  <cols>
    <col min="1" max="1" width="5.7109375" customWidth="1"/>
    <col min="2" max="2" width="36" customWidth="1"/>
    <col min="16" max="16" width="10.7109375" customWidth="1"/>
  </cols>
  <sheetData>
    <row r="1" spans="1:18" ht="15.75" x14ac:dyDescent="0.25">
      <c r="R1" s="25" t="s">
        <v>584</v>
      </c>
    </row>
    <row r="2" spans="1:18" ht="15.75" x14ac:dyDescent="0.25">
      <c r="A2" s="551" t="s">
        <v>585</v>
      </c>
      <c r="B2" s="551"/>
      <c r="C2" s="551"/>
      <c r="D2" s="551"/>
      <c r="E2" s="551"/>
      <c r="F2" s="551"/>
      <c r="G2" s="551"/>
      <c r="H2" s="551"/>
      <c r="I2" s="551"/>
      <c r="J2" s="551"/>
      <c r="K2" s="551"/>
      <c r="L2" s="551"/>
      <c r="M2" s="551"/>
      <c r="N2" s="551"/>
      <c r="O2" s="551"/>
      <c r="P2" s="551"/>
      <c r="Q2" s="551"/>
      <c r="R2" s="551"/>
    </row>
    <row r="3" spans="1:18" ht="15.75" x14ac:dyDescent="0.25">
      <c r="A3" s="551" t="s">
        <v>126</v>
      </c>
      <c r="B3" s="551"/>
      <c r="C3" s="551"/>
      <c r="D3" s="551"/>
      <c r="E3" s="551"/>
      <c r="F3" s="551"/>
      <c r="G3" s="551"/>
      <c r="H3" s="551"/>
      <c r="I3" s="551"/>
      <c r="J3" s="551"/>
      <c r="K3" s="551"/>
      <c r="L3" s="551"/>
      <c r="M3" s="551"/>
      <c r="N3" s="551"/>
      <c r="O3" s="551"/>
      <c r="P3" s="551"/>
      <c r="Q3" s="551"/>
      <c r="R3" s="551"/>
    </row>
    <row r="4" spans="1:18" ht="15.75" x14ac:dyDescent="0.25">
      <c r="R4" s="26" t="s">
        <v>56</v>
      </c>
    </row>
    <row r="5" spans="1:18" ht="15.75" x14ac:dyDescent="0.25">
      <c r="A5" s="595" t="s">
        <v>3</v>
      </c>
      <c r="B5" s="595" t="s">
        <v>161</v>
      </c>
      <c r="C5" s="595" t="s">
        <v>130</v>
      </c>
      <c r="D5" s="595" t="s">
        <v>419</v>
      </c>
      <c r="E5" s="595" t="s">
        <v>420</v>
      </c>
      <c r="F5" s="595" t="s">
        <v>555</v>
      </c>
      <c r="G5" s="595" t="s">
        <v>556</v>
      </c>
      <c r="H5" s="595" t="s">
        <v>557</v>
      </c>
      <c r="I5" s="595" t="s">
        <v>558</v>
      </c>
      <c r="J5" s="595" t="s">
        <v>559</v>
      </c>
      <c r="K5" s="595" t="s">
        <v>560</v>
      </c>
      <c r="L5" s="595" t="s">
        <v>561</v>
      </c>
      <c r="M5" s="595" t="s">
        <v>562</v>
      </c>
      <c r="N5" s="595" t="s">
        <v>162</v>
      </c>
      <c r="O5" s="595"/>
      <c r="P5" s="595" t="s">
        <v>563</v>
      </c>
      <c r="Q5" s="595" t="s">
        <v>564</v>
      </c>
      <c r="R5" s="595" t="s">
        <v>565</v>
      </c>
    </row>
    <row r="6" spans="1:18" ht="126" x14ac:dyDescent="0.25">
      <c r="A6" s="595"/>
      <c r="B6" s="595"/>
      <c r="C6" s="595"/>
      <c r="D6" s="595"/>
      <c r="E6" s="595"/>
      <c r="F6" s="595"/>
      <c r="G6" s="595"/>
      <c r="H6" s="595"/>
      <c r="I6" s="595"/>
      <c r="J6" s="595"/>
      <c r="K6" s="595"/>
      <c r="L6" s="595"/>
      <c r="M6" s="595"/>
      <c r="N6" s="29" t="s">
        <v>586</v>
      </c>
      <c r="O6" s="29" t="s">
        <v>587</v>
      </c>
      <c r="P6" s="595"/>
      <c r="Q6" s="595"/>
      <c r="R6" s="595"/>
    </row>
    <row r="7" spans="1:18"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row>
    <row r="8" spans="1:18" ht="33" customHeight="1" x14ac:dyDescent="0.25">
      <c r="A8" s="29"/>
      <c r="B8" s="30" t="s">
        <v>133</v>
      </c>
      <c r="C8" s="28"/>
      <c r="D8" s="28"/>
      <c r="E8" s="28"/>
      <c r="F8" s="28"/>
      <c r="G8" s="28"/>
      <c r="H8" s="28"/>
      <c r="I8" s="28"/>
      <c r="J8" s="28"/>
      <c r="K8" s="28"/>
      <c r="L8" s="28"/>
      <c r="M8" s="28"/>
      <c r="N8" s="28"/>
      <c r="O8" s="28"/>
      <c r="P8" s="28"/>
      <c r="Q8" s="28"/>
      <c r="R8" s="28"/>
    </row>
    <row r="9" spans="1:18" ht="46.5" customHeight="1" x14ac:dyDescent="0.25">
      <c r="A9" s="29">
        <v>1</v>
      </c>
      <c r="B9" s="30" t="s">
        <v>166</v>
      </c>
      <c r="C9" s="28"/>
      <c r="D9" s="28"/>
      <c r="E9" s="28"/>
      <c r="F9" s="28"/>
      <c r="G9" s="28"/>
      <c r="H9" s="28"/>
      <c r="I9" s="28"/>
      <c r="J9" s="28"/>
      <c r="K9" s="28"/>
      <c r="L9" s="28"/>
      <c r="M9" s="28"/>
      <c r="N9" s="28"/>
      <c r="O9" s="28"/>
      <c r="P9" s="28"/>
      <c r="Q9" s="28"/>
      <c r="R9" s="28"/>
    </row>
    <row r="10" spans="1:18" ht="46.5" customHeight="1" x14ac:dyDescent="0.25">
      <c r="A10" s="29">
        <v>2</v>
      </c>
      <c r="B10" s="30" t="s">
        <v>167</v>
      </c>
      <c r="C10" s="28"/>
      <c r="D10" s="28"/>
      <c r="E10" s="28"/>
      <c r="F10" s="28"/>
      <c r="G10" s="28"/>
      <c r="H10" s="28"/>
      <c r="I10" s="28"/>
      <c r="J10" s="28"/>
      <c r="K10" s="28"/>
      <c r="L10" s="28"/>
      <c r="M10" s="28"/>
      <c r="N10" s="28"/>
      <c r="O10" s="28"/>
      <c r="P10" s="28"/>
      <c r="Q10" s="28"/>
      <c r="R10" s="28"/>
    </row>
    <row r="11" spans="1:18" ht="46.5" customHeight="1" x14ac:dyDescent="0.25">
      <c r="A11" s="29">
        <v>3</v>
      </c>
      <c r="B11" s="30" t="s">
        <v>588</v>
      </c>
      <c r="C11" s="28"/>
      <c r="D11" s="28"/>
      <c r="E11" s="28"/>
      <c r="F11" s="28"/>
      <c r="G11" s="28"/>
      <c r="H11" s="28"/>
      <c r="I11" s="28"/>
      <c r="J11" s="28"/>
      <c r="K11" s="28"/>
      <c r="L11" s="28"/>
      <c r="M11" s="28"/>
      <c r="N11" s="28"/>
      <c r="O11" s="28"/>
      <c r="P11" s="28"/>
      <c r="Q11" s="28"/>
      <c r="R11" s="28"/>
    </row>
    <row r="12" spans="1:18" ht="15.75" x14ac:dyDescent="0.25">
      <c r="A12" s="35"/>
    </row>
  </sheetData>
  <mergeCells count="19">
    <mergeCell ref="P5:P6"/>
    <mergeCell ref="Q5:Q6"/>
    <mergeCell ref="R5:R6"/>
    <mergeCell ref="A2:R2"/>
    <mergeCell ref="A3:R3"/>
    <mergeCell ref="G5:G6"/>
    <mergeCell ref="H5:H6"/>
    <mergeCell ref="I5:I6"/>
    <mergeCell ref="J5:J6"/>
    <mergeCell ref="K5:K6"/>
    <mergeCell ref="M5:M6"/>
    <mergeCell ref="N5:O5"/>
    <mergeCell ref="L5:L6"/>
    <mergeCell ref="A5:A6"/>
    <mergeCell ref="B5:B6"/>
    <mergeCell ref="C5:C6"/>
    <mergeCell ref="D5:D6"/>
    <mergeCell ref="E5:E6"/>
    <mergeCell ref="F5:F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R11"/>
  <sheetViews>
    <sheetView topLeftCell="C1" workbookViewId="0"/>
  </sheetViews>
  <sheetFormatPr defaultRowHeight="15" x14ac:dyDescent="0.25"/>
  <cols>
    <col min="1" max="1" width="6.28515625" customWidth="1"/>
    <col min="2" max="2" width="26.28515625" customWidth="1"/>
    <col min="16" max="16" width="10.7109375" customWidth="1"/>
  </cols>
  <sheetData>
    <row r="1" spans="1:18" ht="15.75" x14ac:dyDescent="0.25">
      <c r="R1" s="25" t="s">
        <v>589</v>
      </c>
    </row>
    <row r="2" spans="1:18" ht="15.75" x14ac:dyDescent="0.25">
      <c r="A2" s="551" t="s">
        <v>590</v>
      </c>
      <c r="B2" s="551"/>
      <c r="C2" s="551"/>
      <c r="D2" s="551"/>
      <c r="E2" s="551"/>
      <c r="F2" s="551"/>
      <c r="G2" s="551"/>
      <c r="H2" s="551"/>
      <c r="I2" s="551"/>
      <c r="J2" s="551"/>
      <c r="K2" s="551"/>
      <c r="L2" s="551"/>
      <c r="M2" s="551"/>
      <c r="N2" s="551"/>
      <c r="O2" s="551"/>
      <c r="P2" s="551"/>
      <c r="Q2" s="551"/>
      <c r="R2" s="551"/>
    </row>
    <row r="3" spans="1:18" ht="15.75" x14ac:dyDescent="0.25">
      <c r="A3" s="551" t="s">
        <v>126</v>
      </c>
      <c r="B3" s="551"/>
      <c r="C3" s="551"/>
      <c r="D3" s="551"/>
      <c r="E3" s="551"/>
      <c r="F3" s="551"/>
      <c r="G3" s="551"/>
      <c r="H3" s="551"/>
      <c r="I3" s="551"/>
      <c r="J3" s="551"/>
      <c r="K3" s="551"/>
      <c r="L3" s="551"/>
      <c r="M3" s="551"/>
      <c r="N3" s="551"/>
      <c r="O3" s="551"/>
      <c r="P3" s="551"/>
      <c r="Q3" s="551"/>
      <c r="R3" s="551"/>
    </row>
    <row r="4" spans="1:18" ht="15.75" x14ac:dyDescent="0.25">
      <c r="R4" s="26" t="s">
        <v>56</v>
      </c>
    </row>
    <row r="5" spans="1:18" ht="15.75" x14ac:dyDescent="0.25">
      <c r="A5" s="595" t="s">
        <v>3</v>
      </c>
      <c r="B5" s="595" t="s">
        <v>161</v>
      </c>
      <c r="C5" s="595" t="s">
        <v>130</v>
      </c>
      <c r="D5" s="595" t="s">
        <v>419</v>
      </c>
      <c r="E5" s="595" t="s">
        <v>420</v>
      </c>
      <c r="F5" s="595" t="s">
        <v>555</v>
      </c>
      <c r="G5" s="595" t="s">
        <v>556</v>
      </c>
      <c r="H5" s="595" t="s">
        <v>557</v>
      </c>
      <c r="I5" s="595" t="s">
        <v>558</v>
      </c>
      <c r="J5" s="595" t="s">
        <v>559</v>
      </c>
      <c r="K5" s="595" t="s">
        <v>560</v>
      </c>
      <c r="L5" s="595" t="s">
        <v>561</v>
      </c>
      <c r="M5" s="595" t="s">
        <v>562</v>
      </c>
      <c r="N5" s="595" t="s">
        <v>162</v>
      </c>
      <c r="O5" s="595"/>
      <c r="P5" s="595" t="s">
        <v>563</v>
      </c>
      <c r="Q5" s="595" t="s">
        <v>564</v>
      </c>
      <c r="R5" s="595" t="s">
        <v>565</v>
      </c>
    </row>
    <row r="6" spans="1:18" ht="126" x14ac:dyDescent="0.25">
      <c r="A6" s="595"/>
      <c r="B6" s="595"/>
      <c r="C6" s="595"/>
      <c r="D6" s="595"/>
      <c r="E6" s="595"/>
      <c r="F6" s="595"/>
      <c r="G6" s="595"/>
      <c r="H6" s="595"/>
      <c r="I6" s="595"/>
      <c r="J6" s="595"/>
      <c r="K6" s="595"/>
      <c r="L6" s="595"/>
      <c r="M6" s="595"/>
      <c r="N6" s="29" t="s">
        <v>586</v>
      </c>
      <c r="O6" s="29" t="s">
        <v>587</v>
      </c>
      <c r="P6" s="595"/>
      <c r="Q6" s="595"/>
      <c r="R6" s="595"/>
    </row>
    <row r="7" spans="1:18"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row>
    <row r="8" spans="1:18" ht="33" customHeight="1" x14ac:dyDescent="0.25">
      <c r="A8" s="29"/>
      <c r="B8" s="30" t="s">
        <v>133</v>
      </c>
      <c r="C8" s="28"/>
      <c r="D8" s="28"/>
      <c r="E8" s="28"/>
      <c r="F8" s="28"/>
      <c r="G8" s="28"/>
      <c r="H8" s="28"/>
      <c r="I8" s="28"/>
      <c r="J8" s="28"/>
      <c r="K8" s="28"/>
      <c r="L8" s="28"/>
      <c r="M8" s="28"/>
      <c r="N8" s="28"/>
      <c r="O8" s="28"/>
      <c r="P8" s="28"/>
      <c r="Q8" s="28"/>
      <c r="R8" s="28"/>
    </row>
    <row r="9" spans="1:18" ht="33" customHeight="1" x14ac:dyDescent="0.25">
      <c r="A9" s="29">
        <v>1</v>
      </c>
      <c r="B9" s="30" t="s">
        <v>166</v>
      </c>
      <c r="C9" s="28"/>
      <c r="D9" s="28"/>
      <c r="E9" s="28"/>
      <c r="F9" s="28"/>
      <c r="G9" s="28"/>
      <c r="H9" s="28"/>
      <c r="I9" s="28"/>
      <c r="J9" s="28"/>
      <c r="K9" s="28"/>
      <c r="L9" s="28"/>
      <c r="M9" s="28"/>
      <c r="N9" s="28"/>
      <c r="O9" s="28"/>
      <c r="P9" s="28"/>
      <c r="Q9" s="28"/>
      <c r="R9" s="28"/>
    </row>
    <row r="10" spans="1:18" ht="33" customHeight="1" x14ac:dyDescent="0.25">
      <c r="A10" s="29">
        <v>2</v>
      </c>
      <c r="B10" s="30" t="s">
        <v>167</v>
      </c>
      <c r="C10" s="28"/>
      <c r="D10" s="28"/>
      <c r="E10" s="28"/>
      <c r="F10" s="28"/>
      <c r="G10" s="28"/>
      <c r="H10" s="28"/>
      <c r="I10" s="28"/>
      <c r="J10" s="28"/>
      <c r="K10" s="28"/>
      <c r="L10" s="28"/>
      <c r="M10" s="28"/>
      <c r="N10" s="28"/>
      <c r="O10" s="28"/>
      <c r="P10" s="28"/>
      <c r="Q10" s="28"/>
      <c r="R10" s="28"/>
    </row>
    <row r="11" spans="1:18" ht="33" customHeight="1" x14ac:dyDescent="0.25">
      <c r="A11" s="29">
        <v>3</v>
      </c>
      <c r="B11" s="30" t="s">
        <v>588</v>
      </c>
      <c r="C11" s="28"/>
      <c r="D11" s="28"/>
      <c r="E11" s="28"/>
      <c r="F11" s="28"/>
      <c r="G11" s="28"/>
      <c r="H11" s="28"/>
      <c r="I11" s="28"/>
      <c r="J11" s="28"/>
      <c r="K11" s="28"/>
      <c r="L11" s="28"/>
      <c r="M11" s="28"/>
      <c r="N11" s="28"/>
      <c r="O11" s="28"/>
      <c r="P11" s="28"/>
      <c r="Q11" s="28"/>
      <c r="R11" s="28"/>
    </row>
  </sheetData>
  <mergeCells count="19">
    <mergeCell ref="P5:P6"/>
    <mergeCell ref="Q5:Q6"/>
    <mergeCell ref="R5:R6"/>
    <mergeCell ref="A2:R2"/>
    <mergeCell ref="A3:R3"/>
    <mergeCell ref="G5:G6"/>
    <mergeCell ref="H5:H6"/>
    <mergeCell ref="I5:I6"/>
    <mergeCell ref="J5:J6"/>
    <mergeCell ref="K5:K6"/>
    <mergeCell ref="M5:M6"/>
    <mergeCell ref="N5:O5"/>
    <mergeCell ref="L5:L6"/>
    <mergeCell ref="A5:A6"/>
    <mergeCell ref="B5:B6"/>
    <mergeCell ref="C5:C6"/>
    <mergeCell ref="D5:D6"/>
    <mergeCell ref="E5:E6"/>
    <mergeCell ref="F5:F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AF28"/>
  <sheetViews>
    <sheetView zoomScale="75" zoomScaleNormal="75" workbookViewId="0"/>
  </sheetViews>
  <sheetFormatPr defaultRowHeight="15" x14ac:dyDescent="0.25"/>
  <cols>
    <col min="1" max="1" width="6.28515625" customWidth="1"/>
    <col min="2" max="2" width="20" customWidth="1"/>
    <col min="4" max="4" width="8.7109375" customWidth="1"/>
  </cols>
  <sheetData>
    <row r="1" spans="1:32" ht="15.75" x14ac:dyDescent="0.25">
      <c r="AF1" s="25" t="s">
        <v>591</v>
      </c>
    </row>
    <row r="2" spans="1:32" ht="18.75" x14ac:dyDescent="0.25">
      <c r="A2" s="597" t="s">
        <v>592</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row>
    <row r="3" spans="1:32" ht="15.75" x14ac:dyDescent="0.25">
      <c r="A3" s="551" t="s">
        <v>512</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row>
    <row r="4" spans="1:32" ht="15.75" x14ac:dyDescent="0.25">
      <c r="AE4" s="26" t="s">
        <v>593</v>
      </c>
    </row>
    <row r="5" spans="1:32" ht="15.75" x14ac:dyDescent="0.25">
      <c r="A5" s="595" t="s">
        <v>3</v>
      </c>
      <c r="B5" s="595" t="s">
        <v>522</v>
      </c>
      <c r="C5" s="595" t="s">
        <v>594</v>
      </c>
      <c r="D5" s="595"/>
      <c r="E5" s="595"/>
      <c r="F5" s="595"/>
      <c r="G5" s="595"/>
      <c r="H5" s="595"/>
      <c r="I5" s="595"/>
      <c r="J5" s="595"/>
      <c r="K5" s="595"/>
      <c r="L5" s="595"/>
      <c r="M5" s="595" t="s">
        <v>595</v>
      </c>
      <c r="N5" s="595"/>
      <c r="O5" s="595"/>
      <c r="P5" s="595"/>
      <c r="Q5" s="595"/>
      <c r="R5" s="595"/>
      <c r="S5" s="595"/>
      <c r="T5" s="595"/>
      <c r="U5" s="595"/>
      <c r="V5" s="595"/>
      <c r="W5" s="595" t="s">
        <v>374</v>
      </c>
      <c r="X5" s="595"/>
      <c r="Y5" s="595"/>
      <c r="Z5" s="595"/>
      <c r="AA5" s="595"/>
      <c r="AB5" s="595"/>
      <c r="AC5" s="595"/>
      <c r="AD5" s="595"/>
      <c r="AE5" s="595"/>
      <c r="AF5" s="595"/>
    </row>
    <row r="6" spans="1:32" ht="23.25" customHeight="1" x14ac:dyDescent="0.25">
      <c r="A6" s="595"/>
      <c r="B6" s="595"/>
      <c r="C6" s="595" t="s">
        <v>130</v>
      </c>
      <c r="D6" s="595" t="s">
        <v>367</v>
      </c>
      <c r="E6" s="595"/>
      <c r="F6" s="595"/>
      <c r="G6" s="595"/>
      <c r="H6" s="595"/>
      <c r="I6" s="595"/>
      <c r="J6" s="595" t="s">
        <v>96</v>
      </c>
      <c r="K6" s="595" t="s">
        <v>162</v>
      </c>
      <c r="L6" s="595"/>
      <c r="M6" s="595" t="s">
        <v>130</v>
      </c>
      <c r="N6" s="595" t="s">
        <v>367</v>
      </c>
      <c r="O6" s="595"/>
      <c r="P6" s="595"/>
      <c r="Q6" s="595"/>
      <c r="R6" s="595"/>
      <c r="S6" s="595"/>
      <c r="T6" s="595" t="s">
        <v>96</v>
      </c>
      <c r="U6" s="595" t="s">
        <v>162</v>
      </c>
      <c r="V6" s="595"/>
      <c r="W6" s="595" t="s">
        <v>130</v>
      </c>
      <c r="X6" s="595" t="s">
        <v>367</v>
      </c>
      <c r="Y6" s="595"/>
      <c r="Z6" s="595"/>
      <c r="AA6" s="595"/>
      <c r="AB6" s="595"/>
      <c r="AC6" s="595"/>
      <c r="AD6" s="595" t="s">
        <v>96</v>
      </c>
      <c r="AE6" s="595" t="s">
        <v>162</v>
      </c>
      <c r="AF6" s="595"/>
    </row>
    <row r="7" spans="1:32" ht="15.75" x14ac:dyDescent="0.25">
      <c r="A7" s="595"/>
      <c r="B7" s="595"/>
      <c r="C7" s="595"/>
      <c r="D7" s="595" t="s">
        <v>130</v>
      </c>
      <c r="E7" s="595" t="s">
        <v>162</v>
      </c>
      <c r="F7" s="595"/>
      <c r="G7" s="595" t="s">
        <v>596</v>
      </c>
      <c r="H7" s="595" t="s">
        <v>597</v>
      </c>
      <c r="I7" s="595" t="s">
        <v>422</v>
      </c>
      <c r="J7" s="595"/>
      <c r="K7" s="595"/>
      <c r="L7" s="595"/>
      <c r="M7" s="595"/>
      <c r="N7" s="595" t="s">
        <v>130</v>
      </c>
      <c r="O7" s="595" t="s">
        <v>162</v>
      </c>
      <c r="P7" s="595"/>
      <c r="Q7" s="595" t="s">
        <v>596</v>
      </c>
      <c r="R7" s="595" t="s">
        <v>597</v>
      </c>
      <c r="S7" s="595" t="s">
        <v>422</v>
      </c>
      <c r="T7" s="595"/>
      <c r="U7" s="595" t="s">
        <v>598</v>
      </c>
      <c r="V7" s="595" t="s">
        <v>475</v>
      </c>
      <c r="W7" s="595"/>
      <c r="X7" s="595" t="s">
        <v>130</v>
      </c>
      <c r="Y7" s="595" t="s">
        <v>162</v>
      </c>
      <c r="Z7" s="595"/>
      <c r="AA7" s="595" t="s">
        <v>596</v>
      </c>
      <c r="AB7" s="595" t="s">
        <v>597</v>
      </c>
      <c r="AC7" s="595" t="s">
        <v>422</v>
      </c>
      <c r="AD7" s="595"/>
      <c r="AE7" s="595"/>
      <c r="AF7" s="595"/>
    </row>
    <row r="8" spans="1:32" ht="121.5" customHeight="1" x14ac:dyDescent="0.25">
      <c r="A8" s="595"/>
      <c r="B8" s="595"/>
      <c r="C8" s="595"/>
      <c r="D8" s="595"/>
      <c r="E8" s="29" t="s">
        <v>598</v>
      </c>
      <c r="F8" s="29" t="s">
        <v>420</v>
      </c>
      <c r="G8" s="595"/>
      <c r="H8" s="595"/>
      <c r="I8" s="595"/>
      <c r="J8" s="595"/>
      <c r="K8" s="29" t="s">
        <v>598</v>
      </c>
      <c r="L8" s="29" t="s">
        <v>475</v>
      </c>
      <c r="M8" s="595"/>
      <c r="N8" s="595"/>
      <c r="O8" s="29" t="s">
        <v>598</v>
      </c>
      <c r="P8" s="29" t="s">
        <v>420</v>
      </c>
      <c r="Q8" s="595"/>
      <c r="R8" s="595"/>
      <c r="S8" s="595"/>
      <c r="T8" s="595"/>
      <c r="U8" s="595"/>
      <c r="V8" s="595"/>
      <c r="W8" s="595"/>
      <c r="X8" s="595"/>
      <c r="Y8" s="29" t="s">
        <v>598</v>
      </c>
      <c r="Z8" s="29" t="s">
        <v>420</v>
      </c>
      <c r="AA8" s="595"/>
      <c r="AB8" s="595"/>
      <c r="AC8" s="595"/>
      <c r="AD8" s="595"/>
      <c r="AE8" s="29" t="s">
        <v>598</v>
      </c>
      <c r="AF8" s="29" t="s">
        <v>420</v>
      </c>
    </row>
    <row r="9" spans="1:32" ht="31.5" x14ac:dyDescent="0.25">
      <c r="A9" s="29" t="s">
        <v>15</v>
      </c>
      <c r="B9" s="29" t="s">
        <v>16</v>
      </c>
      <c r="C9" s="29">
        <v>1</v>
      </c>
      <c r="D9" s="29">
        <v>2</v>
      </c>
      <c r="E9" s="29">
        <v>3</v>
      </c>
      <c r="F9" s="29">
        <v>4</v>
      </c>
      <c r="G9" s="29">
        <v>5</v>
      </c>
      <c r="H9" s="29">
        <v>6</v>
      </c>
      <c r="I9" s="29">
        <v>7</v>
      </c>
      <c r="J9" s="29">
        <v>8</v>
      </c>
      <c r="K9" s="29">
        <v>9</v>
      </c>
      <c r="L9" s="29">
        <v>10</v>
      </c>
      <c r="M9" s="29">
        <v>11</v>
      </c>
      <c r="N9" s="29">
        <v>12</v>
      </c>
      <c r="O9" s="29">
        <v>13</v>
      </c>
      <c r="P9" s="29">
        <v>14</v>
      </c>
      <c r="Q9" s="29">
        <v>15</v>
      </c>
      <c r="R9" s="29">
        <v>16</v>
      </c>
      <c r="S9" s="29">
        <v>17</v>
      </c>
      <c r="T9" s="29">
        <v>18</v>
      </c>
      <c r="U9" s="29">
        <v>19</v>
      </c>
      <c r="V9" s="29">
        <v>20</v>
      </c>
      <c r="W9" s="29" t="s">
        <v>599</v>
      </c>
      <c r="X9" s="29" t="s">
        <v>600</v>
      </c>
      <c r="Y9" s="29" t="s">
        <v>601</v>
      </c>
      <c r="Z9" s="29" t="s">
        <v>602</v>
      </c>
      <c r="AA9" s="29" t="s">
        <v>603</v>
      </c>
      <c r="AB9" s="29" t="s">
        <v>604</v>
      </c>
      <c r="AC9" s="29" t="s">
        <v>605</v>
      </c>
      <c r="AD9" s="29" t="s">
        <v>606</v>
      </c>
      <c r="AE9" s="29" t="s">
        <v>607</v>
      </c>
      <c r="AF9" s="29" t="s">
        <v>608</v>
      </c>
    </row>
    <row r="10" spans="1:32" ht="15.75" x14ac:dyDescent="0.25">
      <c r="A10" s="31"/>
      <c r="B10" s="30" t="s">
        <v>133</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row>
    <row r="11" spans="1:32" ht="15.75" x14ac:dyDescent="0.25">
      <c r="A11" s="28">
        <v>1</v>
      </c>
      <c r="B11" s="31" t="s">
        <v>169</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row>
    <row r="12" spans="1:32" ht="15.75" x14ac:dyDescent="0.25">
      <c r="A12" s="28">
        <v>2</v>
      </c>
      <c r="B12" s="31" t="s">
        <v>170</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row>
    <row r="13" spans="1:32" ht="15.75" x14ac:dyDescent="0.25">
      <c r="A13" s="28">
        <v>3</v>
      </c>
      <c r="B13" s="31" t="s">
        <v>609</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row>
    <row r="14" spans="1:32" ht="15.75" x14ac:dyDescent="0.25">
      <c r="A14" s="28">
        <v>4</v>
      </c>
      <c r="B14" s="31" t="s">
        <v>172</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row>
    <row r="15" spans="1:32" ht="15.75" x14ac:dyDescent="0.25">
      <c r="A15" s="28">
        <v>5</v>
      </c>
      <c r="B15" s="31" t="s">
        <v>610</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row>
    <row r="16" spans="1:32" ht="15.75" x14ac:dyDescent="0.25">
      <c r="A16" s="28">
        <v>6</v>
      </c>
      <c r="B16" s="31" t="s">
        <v>174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row>
    <row r="17" spans="1:32" ht="15.75" x14ac:dyDescent="0.25">
      <c r="A17" s="28">
        <v>7</v>
      </c>
      <c r="B17" s="31" t="s">
        <v>175</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row>
    <row r="18" spans="1:32" ht="15.75" x14ac:dyDescent="0.25">
      <c r="A18" s="28">
        <v>8</v>
      </c>
      <c r="B18" s="31" t="s">
        <v>611</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ht="15.75" x14ac:dyDescent="0.25">
      <c r="A19" s="28">
        <v>9</v>
      </c>
      <c r="B19" s="31" t="s">
        <v>198</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row>
    <row r="20" spans="1:32" ht="15.75" x14ac:dyDescent="0.25">
      <c r="A20" s="28">
        <v>10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row>
    <row r="21" spans="1:32" ht="15.75" x14ac:dyDescent="0.25">
      <c r="A21" s="28">
        <v>11</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row>
    <row r="22" spans="1:32" ht="15.75" x14ac:dyDescent="0.25">
      <c r="A22" s="28">
        <v>12</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row>
    <row r="23" spans="1:32" ht="15.75" x14ac:dyDescent="0.25">
      <c r="A23" s="28">
        <v>13</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1:32" ht="15.75" x14ac:dyDescent="0.25">
      <c r="A24" s="28">
        <v>14</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row>
    <row r="25" spans="1:32" ht="15.75" x14ac:dyDescent="0.25">
      <c r="A25" s="28">
        <v>15</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ht="15.75" x14ac:dyDescent="0.25">
      <c r="A26" s="27" t="s">
        <v>582</v>
      </c>
    </row>
    <row r="27" spans="1:32" ht="15.75" x14ac:dyDescent="0.25">
      <c r="A27" s="33" t="s">
        <v>613</v>
      </c>
    </row>
    <row r="28" spans="1:32" ht="15.75" x14ac:dyDescent="0.25">
      <c r="A28" s="33" t="s">
        <v>612</v>
      </c>
    </row>
  </sheetData>
  <mergeCells count="36">
    <mergeCell ref="A2:AF2"/>
    <mergeCell ref="A3:AF3"/>
    <mergeCell ref="AE6:AF7"/>
    <mergeCell ref="D7:D8"/>
    <mergeCell ref="E7:F7"/>
    <mergeCell ref="G7:G8"/>
    <mergeCell ref="H7:H8"/>
    <mergeCell ref="I7:I8"/>
    <mergeCell ref="N7:N8"/>
    <mergeCell ref="O7:P7"/>
    <mergeCell ref="Q7:Q8"/>
    <mergeCell ref="R7:R8"/>
    <mergeCell ref="A5:A8"/>
    <mergeCell ref="B5:B8"/>
    <mergeCell ref="W5:AF5"/>
    <mergeCell ref="AD6:AD8"/>
    <mergeCell ref="W6:W8"/>
    <mergeCell ref="X6:AC6"/>
    <mergeCell ref="X7:X8"/>
    <mergeCell ref="AC7:AC8"/>
    <mergeCell ref="AA7:AA8"/>
    <mergeCell ref="AB7:AB8"/>
    <mergeCell ref="C5:L5"/>
    <mergeCell ref="S7:S8"/>
    <mergeCell ref="U7:U8"/>
    <mergeCell ref="U6:V6"/>
    <mergeCell ref="V7:V8"/>
    <mergeCell ref="M5:V5"/>
    <mergeCell ref="N6:S6"/>
    <mergeCell ref="T6:T8"/>
    <mergeCell ref="C6:C8"/>
    <mergeCell ref="D6:I6"/>
    <mergeCell ref="J6:J8"/>
    <mergeCell ref="K6:L7"/>
    <mergeCell ref="M6:M8"/>
    <mergeCell ref="Y7:Z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sheetPr>
  <dimension ref="A1:L23"/>
  <sheetViews>
    <sheetView workbookViewId="0"/>
  </sheetViews>
  <sheetFormatPr defaultRowHeight="15" x14ac:dyDescent="0.25"/>
  <cols>
    <col min="1" max="1" width="5.7109375" customWidth="1"/>
    <col min="2" max="2" width="17.5703125" customWidth="1"/>
    <col min="3" max="3" width="10.7109375" customWidth="1"/>
    <col min="5" max="5" width="11.7109375" customWidth="1"/>
    <col min="12" max="12" width="10.7109375" customWidth="1"/>
  </cols>
  <sheetData>
    <row r="1" spans="1:12" ht="15.75" x14ac:dyDescent="0.25">
      <c r="L1" s="25" t="s">
        <v>614</v>
      </c>
    </row>
    <row r="2" spans="1:12" ht="39" customHeight="1" x14ac:dyDescent="0.25">
      <c r="A2" s="594" t="s">
        <v>615</v>
      </c>
      <c r="B2" s="594"/>
      <c r="C2" s="594"/>
      <c r="D2" s="594"/>
      <c r="E2" s="594"/>
      <c r="F2" s="594"/>
      <c r="G2" s="594"/>
      <c r="H2" s="594"/>
      <c r="I2" s="594"/>
      <c r="J2" s="594"/>
      <c r="K2" s="594"/>
      <c r="L2" s="594"/>
    </row>
    <row r="3" spans="1:12" ht="15.75" x14ac:dyDescent="0.25">
      <c r="A3" s="551" t="s">
        <v>126</v>
      </c>
      <c r="B3" s="551"/>
      <c r="C3" s="551"/>
      <c r="D3" s="551"/>
      <c r="E3" s="551"/>
      <c r="F3" s="551"/>
      <c r="G3" s="551"/>
      <c r="H3" s="551"/>
      <c r="I3" s="551"/>
      <c r="J3" s="551"/>
      <c r="K3" s="551"/>
      <c r="L3" s="551"/>
    </row>
    <row r="4" spans="1:12" ht="15.75" x14ac:dyDescent="0.25">
      <c r="L4" s="26" t="s">
        <v>56</v>
      </c>
    </row>
    <row r="5" spans="1:12" ht="30" customHeight="1" x14ac:dyDescent="0.25">
      <c r="A5" s="595" t="s">
        <v>3</v>
      </c>
      <c r="B5" s="595" t="s">
        <v>616</v>
      </c>
      <c r="C5" s="595" t="s">
        <v>617</v>
      </c>
      <c r="D5" s="595" t="s">
        <v>618</v>
      </c>
      <c r="E5" s="595"/>
      <c r="F5" s="595"/>
      <c r="G5" s="595"/>
      <c r="H5" s="595" t="s">
        <v>357</v>
      </c>
      <c r="I5" s="595"/>
      <c r="J5" s="595"/>
      <c r="K5" s="595"/>
      <c r="L5" s="595" t="s">
        <v>619</v>
      </c>
    </row>
    <row r="6" spans="1:12" ht="47.25" customHeight="1" x14ac:dyDescent="0.25">
      <c r="A6" s="595"/>
      <c r="B6" s="595"/>
      <c r="C6" s="595"/>
      <c r="D6" s="595" t="s">
        <v>620</v>
      </c>
      <c r="E6" s="595"/>
      <c r="F6" s="595" t="s">
        <v>621</v>
      </c>
      <c r="G6" s="595" t="s">
        <v>622</v>
      </c>
      <c r="H6" s="595" t="s">
        <v>620</v>
      </c>
      <c r="I6" s="595"/>
      <c r="J6" s="595" t="s">
        <v>621</v>
      </c>
      <c r="K6" s="595" t="s">
        <v>622</v>
      </c>
      <c r="L6" s="595"/>
    </row>
    <row r="7" spans="1:12" ht="78.75" x14ac:dyDescent="0.25">
      <c r="A7" s="595"/>
      <c r="B7" s="595"/>
      <c r="C7" s="595"/>
      <c r="D7" s="29" t="s">
        <v>130</v>
      </c>
      <c r="E7" s="29" t="s">
        <v>623</v>
      </c>
      <c r="F7" s="595"/>
      <c r="G7" s="595"/>
      <c r="H7" s="29" t="s">
        <v>130</v>
      </c>
      <c r="I7" s="29" t="s">
        <v>623</v>
      </c>
      <c r="J7" s="595"/>
      <c r="K7" s="595"/>
      <c r="L7" s="595"/>
    </row>
    <row r="8" spans="1:12" s="39" customFormat="1" ht="12.75" x14ac:dyDescent="0.2">
      <c r="A8" s="38" t="s">
        <v>15</v>
      </c>
      <c r="B8" s="38" t="s">
        <v>16</v>
      </c>
      <c r="C8" s="38">
        <v>1</v>
      </c>
      <c r="D8" s="38">
        <v>2</v>
      </c>
      <c r="E8" s="38">
        <v>3</v>
      </c>
      <c r="F8" s="38">
        <v>4</v>
      </c>
      <c r="G8" s="38" t="s">
        <v>624</v>
      </c>
      <c r="H8" s="38">
        <v>6</v>
      </c>
      <c r="I8" s="38">
        <v>7</v>
      </c>
      <c r="J8" s="38">
        <v>8</v>
      </c>
      <c r="K8" s="38" t="s">
        <v>625</v>
      </c>
      <c r="L8" s="38" t="s">
        <v>626</v>
      </c>
    </row>
    <row r="9" spans="1:12" ht="15.75" x14ac:dyDescent="0.25">
      <c r="A9" s="28">
        <v>1</v>
      </c>
      <c r="B9" s="31" t="s">
        <v>627</v>
      </c>
      <c r="C9" s="31"/>
      <c r="D9" s="31"/>
      <c r="E9" s="31"/>
      <c r="F9" s="31"/>
      <c r="G9" s="31"/>
      <c r="H9" s="31"/>
      <c r="I9" s="31"/>
      <c r="J9" s="31"/>
      <c r="K9" s="31"/>
      <c r="L9" s="31"/>
    </row>
    <row r="10" spans="1:12" ht="15.75" x14ac:dyDescent="0.25">
      <c r="A10" s="28">
        <v>2</v>
      </c>
      <c r="B10" s="31" t="s">
        <v>628</v>
      </c>
      <c r="C10" s="31"/>
      <c r="D10" s="31"/>
      <c r="E10" s="31"/>
      <c r="F10" s="31"/>
      <c r="G10" s="31"/>
      <c r="H10" s="31"/>
      <c r="I10" s="31"/>
      <c r="J10" s="31"/>
      <c r="K10" s="31"/>
      <c r="L10" s="31"/>
    </row>
    <row r="11" spans="1:12" ht="15.75" x14ac:dyDescent="0.25">
      <c r="A11" s="28">
        <v>3</v>
      </c>
      <c r="B11" s="31" t="s">
        <v>629</v>
      </c>
      <c r="C11" s="31"/>
      <c r="D11" s="31"/>
      <c r="E11" s="31"/>
      <c r="F11" s="31"/>
      <c r="G11" s="31"/>
      <c r="H11" s="31"/>
      <c r="I11" s="31"/>
      <c r="J11" s="31"/>
      <c r="K11" s="31"/>
      <c r="L11" s="31"/>
    </row>
    <row r="12" spans="1:12" ht="15.75" x14ac:dyDescent="0.25">
      <c r="A12" s="28">
        <v>4</v>
      </c>
      <c r="B12" s="31" t="s">
        <v>532</v>
      </c>
      <c r="C12" s="31"/>
      <c r="D12" s="31"/>
      <c r="E12" s="31"/>
      <c r="F12" s="31"/>
      <c r="G12" s="31"/>
      <c r="H12" s="31"/>
      <c r="I12" s="31"/>
      <c r="J12" s="31"/>
      <c r="K12" s="31"/>
      <c r="L12" s="31"/>
    </row>
    <row r="13" spans="1:12" ht="15.75" x14ac:dyDescent="0.25">
      <c r="A13" s="28">
        <v>5</v>
      </c>
      <c r="B13" s="37"/>
      <c r="C13" s="31"/>
      <c r="D13" s="31"/>
      <c r="E13" s="31"/>
      <c r="F13" s="31"/>
      <c r="G13" s="31"/>
      <c r="H13" s="31"/>
      <c r="I13" s="31"/>
      <c r="J13" s="31"/>
      <c r="K13" s="31"/>
      <c r="L13" s="31"/>
    </row>
    <row r="14" spans="1:12" ht="15.75" x14ac:dyDescent="0.25">
      <c r="A14" s="28">
        <v>6</v>
      </c>
      <c r="B14" s="37"/>
      <c r="C14" s="31"/>
      <c r="D14" s="31"/>
      <c r="E14" s="31"/>
      <c r="F14" s="31"/>
      <c r="G14" s="31"/>
      <c r="H14" s="31"/>
      <c r="I14" s="31"/>
      <c r="J14" s="31"/>
      <c r="K14" s="31"/>
      <c r="L14" s="31"/>
    </row>
    <row r="15" spans="1:12" ht="15.75" x14ac:dyDescent="0.25">
      <c r="A15" s="28">
        <v>7</v>
      </c>
      <c r="B15" s="37"/>
      <c r="C15" s="31"/>
      <c r="D15" s="31"/>
      <c r="E15" s="31"/>
      <c r="F15" s="31"/>
      <c r="G15" s="31"/>
      <c r="H15" s="31"/>
      <c r="I15" s="31"/>
      <c r="J15" s="31"/>
      <c r="K15" s="31"/>
      <c r="L15" s="31"/>
    </row>
    <row r="16" spans="1:12" ht="15.75" x14ac:dyDescent="0.25">
      <c r="A16" s="28">
        <v>8</v>
      </c>
      <c r="B16" s="37"/>
      <c r="C16" s="31"/>
      <c r="D16" s="31"/>
      <c r="E16" s="31"/>
      <c r="F16" s="31"/>
      <c r="G16" s="31"/>
      <c r="H16" s="31"/>
      <c r="I16" s="31"/>
      <c r="J16" s="31"/>
      <c r="K16" s="31"/>
      <c r="L16" s="31"/>
    </row>
    <row r="17" spans="1:12" ht="15.75" x14ac:dyDescent="0.25">
      <c r="A17" s="28">
        <v>9</v>
      </c>
      <c r="B17" s="37"/>
      <c r="C17" s="31"/>
      <c r="D17" s="31"/>
      <c r="E17" s="31"/>
      <c r="F17" s="31"/>
      <c r="G17" s="31"/>
      <c r="H17" s="31"/>
      <c r="I17" s="31"/>
      <c r="J17" s="31"/>
      <c r="K17" s="31"/>
      <c r="L17" s="31"/>
    </row>
    <row r="18" spans="1:12" ht="15.75" x14ac:dyDescent="0.25">
      <c r="A18" s="28">
        <v>10</v>
      </c>
      <c r="B18" s="37"/>
      <c r="C18" s="31"/>
      <c r="D18" s="31"/>
      <c r="E18" s="31"/>
      <c r="F18" s="31"/>
      <c r="G18" s="31"/>
      <c r="H18" s="31"/>
      <c r="I18" s="31"/>
      <c r="J18" s="31"/>
      <c r="K18" s="31"/>
      <c r="L18" s="31"/>
    </row>
    <row r="19" spans="1:12" ht="15.75" x14ac:dyDescent="0.25">
      <c r="A19" s="28">
        <v>11</v>
      </c>
      <c r="B19" s="37"/>
      <c r="C19" s="31"/>
      <c r="D19" s="31"/>
      <c r="E19" s="31"/>
      <c r="F19" s="31"/>
      <c r="G19" s="31"/>
      <c r="H19" s="31"/>
      <c r="I19" s="31"/>
      <c r="J19" s="31"/>
      <c r="K19" s="31"/>
      <c r="L19" s="31"/>
    </row>
    <row r="20" spans="1:12" ht="15.75" x14ac:dyDescent="0.25">
      <c r="A20" s="28">
        <v>12</v>
      </c>
      <c r="B20" s="37"/>
      <c r="C20" s="31"/>
      <c r="D20" s="31"/>
      <c r="E20" s="31"/>
      <c r="F20" s="31"/>
      <c r="G20" s="31"/>
      <c r="H20" s="31"/>
      <c r="I20" s="31"/>
      <c r="J20" s="31"/>
      <c r="K20" s="31"/>
      <c r="L20" s="31"/>
    </row>
    <row r="21" spans="1:12" ht="15.75" x14ac:dyDescent="0.25">
      <c r="A21" s="28">
        <v>13</v>
      </c>
      <c r="B21" s="37"/>
      <c r="C21" s="31"/>
      <c r="D21" s="31"/>
      <c r="E21" s="31"/>
      <c r="F21" s="31"/>
      <c r="G21" s="31"/>
      <c r="H21" s="31"/>
      <c r="I21" s="31"/>
      <c r="J21" s="31"/>
      <c r="K21" s="31"/>
      <c r="L21" s="31"/>
    </row>
    <row r="22" spans="1:12" ht="15.75" x14ac:dyDescent="0.25">
      <c r="A22" s="28">
        <v>14</v>
      </c>
      <c r="B22" s="37"/>
      <c r="C22" s="31"/>
      <c r="D22" s="31"/>
      <c r="E22" s="31"/>
      <c r="F22" s="31"/>
      <c r="G22" s="31"/>
      <c r="H22" s="31"/>
      <c r="I22" s="31"/>
      <c r="J22" s="31"/>
      <c r="K22" s="31"/>
      <c r="L22" s="31"/>
    </row>
    <row r="23" spans="1:12" ht="15.75" x14ac:dyDescent="0.25">
      <c r="A23" s="28">
        <v>15</v>
      </c>
      <c r="B23" s="37"/>
      <c r="C23" s="31"/>
      <c r="D23" s="31"/>
      <c r="E23" s="31"/>
      <c r="F23" s="31"/>
      <c r="G23" s="31"/>
      <c r="H23" s="31"/>
      <c r="I23" s="31"/>
      <c r="J23" s="31"/>
      <c r="K23" s="31"/>
      <c r="L23" s="31"/>
    </row>
  </sheetData>
  <mergeCells count="14">
    <mergeCell ref="D6:E6"/>
    <mergeCell ref="F6:F7"/>
    <mergeCell ref="G6:G7"/>
    <mergeCell ref="H6:I6"/>
    <mergeCell ref="A2:L2"/>
    <mergeCell ref="A3:L3"/>
    <mergeCell ref="J6:J7"/>
    <mergeCell ref="K6:K7"/>
    <mergeCell ref="A5:A7"/>
    <mergeCell ref="B5:B7"/>
    <mergeCell ref="C5:C7"/>
    <mergeCell ref="D5:G5"/>
    <mergeCell ref="H5:K5"/>
    <mergeCell ref="L5:L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J68"/>
  <sheetViews>
    <sheetView workbookViewId="0">
      <selection activeCell="E33" sqref="E33"/>
    </sheetView>
  </sheetViews>
  <sheetFormatPr defaultColWidth="9.28515625" defaultRowHeight="15" x14ac:dyDescent="0.25"/>
  <cols>
    <col min="1" max="1" width="5.7109375" style="1" customWidth="1"/>
    <col min="2" max="2" width="45.42578125" style="1" customWidth="1"/>
    <col min="3" max="9" width="9.28515625" style="1"/>
    <col min="10" max="10" width="12.28515625" style="1" customWidth="1"/>
    <col min="11" max="16384" width="9.28515625" style="1"/>
  </cols>
  <sheetData>
    <row r="1" spans="1:10" x14ac:dyDescent="0.25">
      <c r="A1" s="559" t="s">
        <v>53</v>
      </c>
      <c r="B1" s="559"/>
      <c r="C1" s="559"/>
      <c r="D1" s="559"/>
      <c r="E1" s="559"/>
      <c r="F1" s="559"/>
      <c r="G1" s="559"/>
      <c r="H1" s="559"/>
      <c r="I1" s="559"/>
      <c r="J1" s="559"/>
    </row>
    <row r="2" spans="1:10" ht="18.75" x14ac:dyDescent="0.25">
      <c r="A2" s="554" t="s">
        <v>54</v>
      </c>
      <c r="B2" s="554"/>
      <c r="C2" s="554"/>
      <c r="D2" s="554"/>
      <c r="E2" s="554"/>
      <c r="F2" s="554"/>
      <c r="G2" s="554"/>
      <c r="H2" s="554"/>
      <c r="I2" s="554"/>
      <c r="J2" s="554"/>
    </row>
    <row r="3" spans="1:10" x14ac:dyDescent="0.25">
      <c r="A3" s="560" t="s">
        <v>55</v>
      </c>
      <c r="B3" s="560"/>
      <c r="C3" s="560"/>
      <c r="D3" s="560"/>
      <c r="E3" s="560"/>
      <c r="F3" s="560"/>
      <c r="G3" s="560"/>
      <c r="H3" s="560"/>
      <c r="I3" s="560"/>
      <c r="J3" s="560"/>
    </row>
    <row r="4" spans="1:10" x14ac:dyDescent="0.25">
      <c r="I4" s="561" t="s">
        <v>56</v>
      </c>
      <c r="J4" s="561"/>
    </row>
    <row r="5" spans="1:10" x14ac:dyDescent="0.25">
      <c r="A5" s="558" t="s">
        <v>3</v>
      </c>
      <c r="B5" s="558" t="s">
        <v>4</v>
      </c>
      <c r="C5" s="558" t="s">
        <v>57</v>
      </c>
      <c r="D5" s="558" t="s">
        <v>7</v>
      </c>
      <c r="E5" s="558"/>
      <c r="F5" s="558"/>
      <c r="G5" s="558"/>
      <c r="H5" s="558"/>
      <c r="I5" s="558"/>
      <c r="J5" s="558" t="s">
        <v>120</v>
      </c>
    </row>
    <row r="6" spans="1:10" ht="28.5" x14ac:dyDescent="0.25">
      <c r="A6" s="558"/>
      <c r="B6" s="558"/>
      <c r="C6" s="558"/>
      <c r="D6" s="2" t="s">
        <v>9</v>
      </c>
      <c r="E6" s="2" t="s">
        <v>58</v>
      </c>
      <c r="F6" s="2" t="s">
        <v>59</v>
      </c>
      <c r="G6" s="2" t="s">
        <v>60</v>
      </c>
      <c r="H6" s="2" t="s">
        <v>13</v>
      </c>
      <c r="I6" s="2" t="s">
        <v>14</v>
      </c>
      <c r="J6" s="558"/>
    </row>
    <row r="7" spans="1:10" x14ac:dyDescent="0.25">
      <c r="A7" s="2" t="s">
        <v>15</v>
      </c>
      <c r="B7" s="2" t="s">
        <v>16</v>
      </c>
      <c r="C7" s="2">
        <v>1</v>
      </c>
      <c r="D7" s="2">
        <v>2</v>
      </c>
      <c r="E7" s="2">
        <v>3</v>
      </c>
      <c r="F7" s="2">
        <v>4</v>
      </c>
      <c r="G7" s="2">
        <v>5</v>
      </c>
      <c r="H7" s="2">
        <v>6</v>
      </c>
      <c r="I7" s="2">
        <v>7</v>
      </c>
      <c r="J7" s="2">
        <v>8</v>
      </c>
    </row>
    <row r="8" spans="1:10" ht="28.5" x14ac:dyDescent="0.25">
      <c r="A8" s="2" t="s">
        <v>15</v>
      </c>
      <c r="B8" s="14" t="s">
        <v>61</v>
      </c>
      <c r="C8" s="3"/>
      <c r="D8" s="3"/>
      <c r="E8" s="3"/>
      <c r="F8" s="3"/>
      <c r="G8" s="3"/>
      <c r="H8" s="3"/>
      <c r="I8" s="3"/>
      <c r="J8" s="3"/>
    </row>
    <row r="9" spans="1:10" x14ac:dyDescent="0.25">
      <c r="A9" s="2" t="s">
        <v>16</v>
      </c>
      <c r="B9" s="14" t="s">
        <v>62</v>
      </c>
      <c r="C9" s="3"/>
      <c r="D9" s="3"/>
      <c r="E9" s="3"/>
      <c r="F9" s="3"/>
      <c r="G9" s="3"/>
      <c r="H9" s="3"/>
      <c r="I9" s="3"/>
      <c r="J9" s="3"/>
    </row>
    <row r="10" spans="1:10" x14ac:dyDescent="0.25">
      <c r="A10" s="3"/>
      <c r="B10" s="5" t="s">
        <v>121</v>
      </c>
      <c r="C10" s="3"/>
      <c r="D10" s="3"/>
      <c r="E10" s="3"/>
      <c r="F10" s="3"/>
      <c r="G10" s="3"/>
      <c r="H10" s="3"/>
      <c r="I10" s="3"/>
      <c r="J10" s="3"/>
    </row>
    <row r="11" spans="1:10" x14ac:dyDescent="0.25">
      <c r="A11" s="3"/>
      <c r="B11" s="5" t="s">
        <v>63</v>
      </c>
      <c r="C11" s="3"/>
      <c r="D11" s="3"/>
      <c r="E11" s="3"/>
      <c r="F11" s="3"/>
      <c r="G11" s="3"/>
      <c r="H11" s="3"/>
      <c r="I11" s="3"/>
      <c r="J11" s="3"/>
    </row>
    <row r="12" spans="1:10" x14ac:dyDescent="0.25">
      <c r="A12" s="3"/>
      <c r="B12" s="5" t="s">
        <v>64</v>
      </c>
      <c r="C12" s="3"/>
      <c r="D12" s="3"/>
      <c r="E12" s="3"/>
      <c r="F12" s="3"/>
      <c r="G12" s="3"/>
      <c r="H12" s="3"/>
      <c r="I12" s="3"/>
      <c r="J12" s="3"/>
    </row>
    <row r="13" spans="1:10" x14ac:dyDescent="0.25">
      <c r="A13" s="3">
        <v>1</v>
      </c>
      <c r="B13" s="4" t="s">
        <v>65</v>
      </c>
      <c r="C13" s="3"/>
      <c r="D13" s="3"/>
      <c r="E13" s="3"/>
      <c r="F13" s="3"/>
      <c r="G13" s="3"/>
      <c r="H13" s="3"/>
      <c r="I13" s="3"/>
      <c r="J13" s="3"/>
    </row>
    <row r="14" spans="1:10" x14ac:dyDescent="0.25">
      <c r="A14" s="3"/>
      <c r="B14" s="5" t="s">
        <v>66</v>
      </c>
      <c r="C14" s="3"/>
      <c r="D14" s="3"/>
      <c r="E14" s="3"/>
      <c r="F14" s="3"/>
      <c r="G14" s="3"/>
      <c r="H14" s="3"/>
      <c r="I14" s="3"/>
      <c r="J14" s="3"/>
    </row>
    <row r="15" spans="1:10" x14ac:dyDescent="0.25">
      <c r="A15" s="3"/>
      <c r="B15" s="5" t="s">
        <v>67</v>
      </c>
      <c r="C15" s="3"/>
      <c r="D15" s="3"/>
      <c r="E15" s="3"/>
      <c r="F15" s="3"/>
      <c r="G15" s="3"/>
      <c r="H15" s="3"/>
      <c r="I15" s="3"/>
      <c r="J15" s="3"/>
    </row>
    <row r="16" spans="1:10" x14ac:dyDescent="0.25">
      <c r="A16" s="3"/>
      <c r="B16" s="5" t="s">
        <v>68</v>
      </c>
      <c r="C16" s="3"/>
      <c r="D16" s="3"/>
      <c r="E16" s="3"/>
      <c r="F16" s="3"/>
      <c r="G16" s="3"/>
      <c r="H16" s="3"/>
      <c r="I16" s="3"/>
      <c r="J16" s="3"/>
    </row>
    <row r="17" spans="1:10" x14ac:dyDescent="0.25">
      <c r="A17" s="3"/>
      <c r="B17" s="5" t="s">
        <v>69</v>
      </c>
      <c r="C17" s="3"/>
      <c r="D17" s="3"/>
      <c r="E17" s="3"/>
      <c r="F17" s="3"/>
      <c r="G17" s="3"/>
      <c r="H17" s="3"/>
      <c r="I17" s="3"/>
      <c r="J17" s="3"/>
    </row>
    <row r="18" spans="1:10" x14ac:dyDescent="0.25">
      <c r="A18" s="2" t="s">
        <v>70</v>
      </c>
      <c r="B18" s="14" t="s">
        <v>71</v>
      </c>
      <c r="C18" s="3"/>
      <c r="D18" s="3"/>
      <c r="E18" s="3"/>
      <c r="F18" s="3"/>
      <c r="G18" s="3"/>
      <c r="H18" s="3"/>
      <c r="I18" s="3"/>
      <c r="J18" s="3"/>
    </row>
    <row r="19" spans="1:10" x14ac:dyDescent="0.25">
      <c r="A19" s="3"/>
      <c r="B19" s="5" t="s">
        <v>72</v>
      </c>
      <c r="C19" s="3"/>
      <c r="D19" s="3"/>
      <c r="E19" s="3"/>
      <c r="F19" s="3"/>
      <c r="G19" s="3"/>
      <c r="H19" s="3"/>
      <c r="I19" s="3"/>
      <c r="J19" s="3"/>
    </row>
    <row r="20" spans="1:10" x14ac:dyDescent="0.25">
      <c r="A20" s="3"/>
      <c r="B20" s="5" t="s">
        <v>122</v>
      </c>
      <c r="C20" s="3"/>
      <c r="D20" s="3"/>
      <c r="E20" s="3"/>
      <c r="F20" s="3"/>
      <c r="G20" s="3"/>
      <c r="H20" s="3"/>
      <c r="I20" s="3"/>
      <c r="J20" s="3"/>
    </row>
    <row r="21" spans="1:10" x14ac:dyDescent="0.25">
      <c r="A21" s="2" t="s">
        <v>73</v>
      </c>
      <c r="B21" s="14" t="s">
        <v>74</v>
      </c>
      <c r="C21" s="3"/>
      <c r="D21" s="3"/>
      <c r="E21" s="3"/>
      <c r="F21" s="3"/>
      <c r="G21" s="3"/>
      <c r="H21" s="3"/>
      <c r="I21" s="3"/>
      <c r="J21" s="3"/>
    </row>
    <row r="22" spans="1:10" x14ac:dyDescent="0.25">
      <c r="A22" s="3"/>
      <c r="B22" s="5" t="s">
        <v>75</v>
      </c>
      <c r="C22" s="3"/>
      <c r="D22" s="3"/>
      <c r="E22" s="3"/>
      <c r="F22" s="3"/>
      <c r="G22" s="3"/>
      <c r="H22" s="3"/>
      <c r="I22" s="3"/>
      <c r="J22" s="3"/>
    </row>
    <row r="23" spans="1:10" x14ac:dyDescent="0.25">
      <c r="A23" s="3"/>
      <c r="B23" s="5" t="s">
        <v>76</v>
      </c>
      <c r="C23" s="3"/>
      <c r="D23" s="3"/>
      <c r="E23" s="3"/>
      <c r="F23" s="3"/>
      <c r="G23" s="3"/>
      <c r="H23" s="3"/>
      <c r="I23" s="3"/>
      <c r="J23" s="3"/>
    </row>
    <row r="24" spans="1:10" x14ac:dyDescent="0.25">
      <c r="A24" s="2" t="s">
        <v>77</v>
      </c>
      <c r="B24" s="14" t="s">
        <v>78</v>
      </c>
      <c r="C24" s="3"/>
      <c r="D24" s="3"/>
      <c r="E24" s="3"/>
      <c r="F24" s="3"/>
      <c r="G24" s="3"/>
      <c r="H24" s="3"/>
      <c r="I24" s="3"/>
      <c r="J24" s="3"/>
    </row>
    <row r="25" spans="1:10" x14ac:dyDescent="0.25">
      <c r="A25" s="3"/>
      <c r="B25" s="5" t="s">
        <v>75</v>
      </c>
      <c r="C25" s="3"/>
      <c r="D25" s="3"/>
      <c r="E25" s="3"/>
      <c r="F25" s="3"/>
      <c r="G25" s="3"/>
      <c r="H25" s="3"/>
      <c r="I25" s="3"/>
      <c r="J25" s="3"/>
    </row>
    <row r="26" spans="1:10" x14ac:dyDescent="0.25">
      <c r="A26" s="3"/>
      <c r="B26" s="5" t="s">
        <v>76</v>
      </c>
      <c r="C26" s="3"/>
      <c r="D26" s="3"/>
      <c r="E26" s="3"/>
      <c r="F26" s="3"/>
      <c r="G26" s="3"/>
      <c r="H26" s="3"/>
      <c r="I26" s="3"/>
      <c r="J26" s="3"/>
    </row>
    <row r="27" spans="1:10" x14ac:dyDescent="0.25">
      <c r="A27" s="2" t="s">
        <v>79</v>
      </c>
      <c r="B27" s="14" t="s">
        <v>80</v>
      </c>
      <c r="C27" s="3"/>
      <c r="D27" s="3"/>
      <c r="E27" s="3"/>
      <c r="F27" s="3"/>
      <c r="G27" s="3"/>
      <c r="H27" s="3"/>
      <c r="I27" s="3"/>
      <c r="J27" s="3"/>
    </row>
    <row r="28" spans="1:10" x14ac:dyDescent="0.25">
      <c r="A28" s="3"/>
      <c r="B28" s="5" t="s">
        <v>81</v>
      </c>
      <c r="C28" s="3"/>
      <c r="D28" s="3"/>
      <c r="E28" s="3"/>
      <c r="F28" s="3"/>
      <c r="G28" s="3"/>
      <c r="H28" s="3"/>
      <c r="I28" s="3"/>
      <c r="J28" s="3"/>
    </row>
    <row r="29" spans="1:10" x14ac:dyDescent="0.25">
      <c r="A29" s="3"/>
      <c r="B29" s="5" t="s">
        <v>82</v>
      </c>
      <c r="C29" s="3"/>
      <c r="D29" s="3"/>
      <c r="E29" s="3"/>
      <c r="F29" s="3"/>
      <c r="G29" s="3"/>
      <c r="H29" s="3"/>
      <c r="I29" s="3"/>
      <c r="J29" s="3"/>
    </row>
    <row r="30" spans="1:10" x14ac:dyDescent="0.25">
      <c r="A30" s="2" t="s">
        <v>83</v>
      </c>
      <c r="B30" s="14" t="s">
        <v>84</v>
      </c>
      <c r="C30" s="3"/>
      <c r="D30" s="3"/>
      <c r="E30" s="3"/>
      <c r="F30" s="3"/>
      <c r="G30" s="3"/>
      <c r="H30" s="3"/>
      <c r="I30" s="3"/>
      <c r="J30" s="3"/>
    </row>
    <row r="31" spans="1:10" x14ac:dyDescent="0.25">
      <c r="A31" s="3"/>
      <c r="B31" s="5" t="s">
        <v>85</v>
      </c>
      <c r="C31" s="3"/>
      <c r="D31" s="3"/>
      <c r="E31" s="3"/>
      <c r="F31" s="3"/>
      <c r="G31" s="3"/>
      <c r="H31" s="3"/>
      <c r="I31" s="3"/>
      <c r="J31" s="3"/>
    </row>
    <row r="32" spans="1:10" x14ac:dyDescent="0.25">
      <c r="A32" s="3"/>
      <c r="B32" s="5" t="s">
        <v>86</v>
      </c>
      <c r="C32" s="3"/>
      <c r="D32" s="3"/>
      <c r="E32" s="3"/>
      <c r="F32" s="3"/>
      <c r="G32" s="3"/>
      <c r="H32" s="3"/>
      <c r="I32" s="3"/>
      <c r="J32" s="3"/>
    </row>
    <row r="33" spans="1:10" x14ac:dyDescent="0.25">
      <c r="A33" s="2" t="s">
        <v>70</v>
      </c>
      <c r="B33" s="14" t="s">
        <v>123</v>
      </c>
      <c r="C33" s="3"/>
      <c r="D33" s="3"/>
      <c r="E33" s="3"/>
      <c r="F33" s="3"/>
      <c r="G33" s="3"/>
      <c r="H33" s="3"/>
      <c r="I33" s="3"/>
      <c r="J33" s="3"/>
    </row>
    <row r="34" spans="1:10" x14ac:dyDescent="0.25">
      <c r="A34" s="3"/>
      <c r="B34" s="5" t="s">
        <v>85</v>
      </c>
      <c r="C34" s="3"/>
      <c r="D34" s="3"/>
      <c r="E34" s="3"/>
      <c r="F34" s="3"/>
      <c r="G34" s="3"/>
      <c r="H34" s="3"/>
      <c r="I34" s="3"/>
      <c r="J34" s="3"/>
    </row>
    <row r="35" spans="1:10" x14ac:dyDescent="0.25">
      <c r="A35" s="3"/>
      <c r="B35" s="5" t="s">
        <v>86</v>
      </c>
      <c r="C35" s="3"/>
      <c r="D35" s="3"/>
      <c r="E35" s="3"/>
      <c r="F35" s="3"/>
      <c r="G35" s="3"/>
      <c r="H35" s="3"/>
      <c r="I35" s="3"/>
      <c r="J35" s="3"/>
    </row>
    <row r="36" spans="1:10" x14ac:dyDescent="0.25">
      <c r="A36" s="3" t="s">
        <v>22</v>
      </c>
      <c r="B36" s="4" t="s">
        <v>87</v>
      </c>
      <c r="C36" s="3"/>
      <c r="D36" s="3"/>
      <c r="E36" s="3"/>
      <c r="F36" s="3"/>
      <c r="G36" s="3"/>
      <c r="H36" s="3"/>
      <c r="I36" s="3"/>
      <c r="J36" s="3"/>
    </row>
    <row r="37" spans="1:10" x14ac:dyDescent="0.25">
      <c r="A37" s="3" t="s">
        <v>22</v>
      </c>
      <c r="B37" s="4" t="s">
        <v>88</v>
      </c>
      <c r="C37" s="3"/>
      <c r="D37" s="3"/>
      <c r="E37" s="3"/>
      <c r="F37" s="3"/>
      <c r="G37" s="3"/>
      <c r="H37" s="3"/>
      <c r="I37" s="3"/>
      <c r="J37" s="3"/>
    </row>
    <row r="38" spans="1:10" x14ac:dyDescent="0.25">
      <c r="A38" s="2" t="s">
        <v>89</v>
      </c>
      <c r="B38" s="14" t="s">
        <v>90</v>
      </c>
      <c r="C38" s="3"/>
      <c r="D38" s="3"/>
      <c r="E38" s="3"/>
      <c r="F38" s="3"/>
      <c r="G38" s="3"/>
      <c r="H38" s="3"/>
      <c r="I38" s="3"/>
      <c r="J38" s="3"/>
    </row>
    <row r="39" spans="1:10" x14ac:dyDescent="0.25">
      <c r="A39" s="3"/>
      <c r="B39" s="5" t="s">
        <v>91</v>
      </c>
      <c r="C39" s="3"/>
      <c r="D39" s="3"/>
      <c r="E39" s="3"/>
      <c r="F39" s="3"/>
      <c r="G39" s="3"/>
      <c r="H39" s="3"/>
      <c r="I39" s="3"/>
      <c r="J39" s="3"/>
    </row>
    <row r="40" spans="1:10" x14ac:dyDescent="0.25">
      <c r="A40" s="3"/>
      <c r="B40" s="5" t="s">
        <v>92</v>
      </c>
      <c r="C40" s="3"/>
      <c r="D40" s="3"/>
      <c r="E40" s="3"/>
      <c r="F40" s="3"/>
      <c r="G40" s="3"/>
      <c r="H40" s="3"/>
      <c r="I40" s="3"/>
      <c r="J40" s="3"/>
    </row>
    <row r="41" spans="1:10" x14ac:dyDescent="0.25">
      <c r="A41" s="2" t="s">
        <v>83</v>
      </c>
      <c r="B41" s="14" t="s">
        <v>93</v>
      </c>
      <c r="C41" s="3"/>
      <c r="D41" s="3"/>
      <c r="E41" s="3"/>
      <c r="F41" s="3"/>
      <c r="G41" s="3"/>
      <c r="H41" s="3"/>
      <c r="I41" s="3"/>
      <c r="J41" s="3"/>
    </row>
    <row r="42" spans="1:10" x14ac:dyDescent="0.25">
      <c r="A42" s="3"/>
      <c r="B42" s="5" t="s">
        <v>94</v>
      </c>
      <c r="C42" s="3"/>
      <c r="D42" s="3"/>
      <c r="E42" s="3"/>
      <c r="F42" s="3"/>
      <c r="G42" s="3"/>
      <c r="H42" s="3"/>
      <c r="I42" s="3"/>
      <c r="J42" s="3"/>
    </row>
    <row r="43" spans="1:10" x14ac:dyDescent="0.25">
      <c r="A43" s="3"/>
      <c r="B43" s="5" t="s">
        <v>95</v>
      </c>
      <c r="C43" s="3"/>
      <c r="D43" s="3"/>
      <c r="E43" s="3"/>
      <c r="F43" s="3"/>
      <c r="G43" s="3"/>
      <c r="H43" s="3"/>
      <c r="I43" s="3"/>
      <c r="J43" s="3"/>
    </row>
    <row r="44" spans="1:10" x14ac:dyDescent="0.25">
      <c r="A44" s="2" t="s">
        <v>70</v>
      </c>
      <c r="B44" s="14" t="s">
        <v>96</v>
      </c>
      <c r="C44" s="3"/>
      <c r="D44" s="3"/>
      <c r="E44" s="3"/>
      <c r="F44" s="3"/>
      <c r="G44" s="3"/>
      <c r="H44" s="3"/>
      <c r="I44" s="3"/>
      <c r="J44" s="3"/>
    </row>
    <row r="45" spans="1:10" x14ac:dyDescent="0.25">
      <c r="A45" s="3"/>
      <c r="B45" s="5" t="s">
        <v>94</v>
      </c>
      <c r="C45" s="3"/>
      <c r="D45" s="3"/>
      <c r="E45" s="3"/>
      <c r="F45" s="3"/>
      <c r="G45" s="3"/>
      <c r="H45" s="3"/>
      <c r="I45" s="3"/>
      <c r="J45" s="3"/>
    </row>
    <row r="46" spans="1:10" x14ac:dyDescent="0.25">
      <c r="A46" s="3"/>
      <c r="B46" s="5" t="s">
        <v>95</v>
      </c>
      <c r="C46" s="3"/>
      <c r="D46" s="3"/>
      <c r="E46" s="3"/>
      <c r="F46" s="3"/>
      <c r="G46" s="3"/>
      <c r="H46" s="3"/>
      <c r="I46" s="3"/>
      <c r="J46" s="3"/>
    </row>
    <row r="47" spans="1:10" ht="28.5" x14ac:dyDescent="0.25">
      <c r="A47" s="2" t="s">
        <v>73</v>
      </c>
      <c r="B47" s="14" t="s">
        <v>97</v>
      </c>
      <c r="C47" s="3"/>
      <c r="D47" s="3"/>
      <c r="E47" s="3"/>
      <c r="F47" s="3"/>
      <c r="G47" s="3"/>
      <c r="H47" s="3"/>
      <c r="I47" s="3"/>
      <c r="J47" s="3"/>
    </row>
    <row r="48" spans="1:10" x14ac:dyDescent="0.25">
      <c r="A48" s="3"/>
      <c r="B48" s="5" t="s">
        <v>94</v>
      </c>
      <c r="C48" s="3"/>
      <c r="D48" s="3"/>
      <c r="E48" s="3"/>
      <c r="F48" s="3"/>
      <c r="G48" s="3"/>
      <c r="H48" s="3"/>
      <c r="I48" s="3"/>
      <c r="J48" s="3"/>
    </row>
    <row r="49" spans="1:10" x14ac:dyDescent="0.25">
      <c r="A49" s="3"/>
      <c r="B49" s="5" t="s">
        <v>95</v>
      </c>
      <c r="C49" s="3"/>
      <c r="D49" s="3"/>
      <c r="E49" s="3"/>
      <c r="F49" s="3"/>
      <c r="G49" s="3"/>
      <c r="H49" s="3"/>
      <c r="I49" s="3"/>
      <c r="J49" s="3"/>
    </row>
    <row r="50" spans="1:10" x14ac:dyDescent="0.25">
      <c r="A50" s="2" t="s">
        <v>77</v>
      </c>
      <c r="B50" s="14" t="s">
        <v>98</v>
      </c>
      <c r="C50" s="3"/>
      <c r="D50" s="3"/>
      <c r="E50" s="3"/>
      <c r="F50" s="3"/>
      <c r="G50" s="3"/>
      <c r="H50" s="3"/>
      <c r="I50" s="3"/>
      <c r="J50" s="3"/>
    </row>
    <row r="51" spans="1:10" x14ac:dyDescent="0.25">
      <c r="A51" s="2" t="s">
        <v>99</v>
      </c>
      <c r="B51" s="14" t="s">
        <v>100</v>
      </c>
      <c r="C51" s="3"/>
      <c r="D51" s="3"/>
      <c r="E51" s="3"/>
      <c r="F51" s="3"/>
      <c r="G51" s="3"/>
      <c r="H51" s="3"/>
      <c r="I51" s="3"/>
      <c r="J51" s="3"/>
    </row>
    <row r="52" spans="1:10" x14ac:dyDescent="0.25">
      <c r="A52" s="2" t="s">
        <v>101</v>
      </c>
      <c r="B52" s="14" t="s">
        <v>102</v>
      </c>
      <c r="C52" s="3"/>
      <c r="D52" s="3"/>
      <c r="E52" s="3"/>
      <c r="F52" s="3"/>
      <c r="G52" s="3"/>
      <c r="H52" s="3"/>
      <c r="I52" s="3"/>
      <c r="J52" s="3"/>
    </row>
    <row r="53" spans="1:10" x14ac:dyDescent="0.25">
      <c r="A53" s="2" t="s">
        <v>83</v>
      </c>
      <c r="B53" s="14" t="s">
        <v>103</v>
      </c>
      <c r="C53" s="3"/>
      <c r="D53" s="3"/>
      <c r="E53" s="3"/>
      <c r="F53" s="3"/>
      <c r="G53" s="3"/>
      <c r="H53" s="3"/>
      <c r="I53" s="3"/>
      <c r="J53" s="3"/>
    </row>
    <row r="54" spans="1:10" x14ac:dyDescent="0.25">
      <c r="A54" s="2" t="s">
        <v>70</v>
      </c>
      <c r="B54" s="14" t="s">
        <v>104</v>
      </c>
      <c r="C54" s="3"/>
      <c r="D54" s="3"/>
      <c r="E54" s="3"/>
      <c r="F54" s="3"/>
      <c r="G54" s="3"/>
      <c r="H54" s="3"/>
      <c r="I54" s="3"/>
      <c r="J54" s="3"/>
    </row>
    <row r="55" spans="1:10" ht="30" x14ac:dyDescent="0.25">
      <c r="A55" s="3"/>
      <c r="B55" s="5" t="s">
        <v>105</v>
      </c>
      <c r="C55" s="3"/>
      <c r="D55" s="3"/>
      <c r="E55" s="3"/>
      <c r="F55" s="3"/>
      <c r="G55" s="3"/>
      <c r="H55" s="3"/>
      <c r="I55" s="3"/>
      <c r="J55" s="3"/>
    </row>
    <row r="56" spans="1:10" x14ac:dyDescent="0.25">
      <c r="A56" s="3"/>
      <c r="B56" s="5" t="s">
        <v>106</v>
      </c>
      <c r="C56" s="3"/>
      <c r="D56" s="3"/>
      <c r="E56" s="3"/>
      <c r="F56" s="3"/>
      <c r="G56" s="3"/>
      <c r="H56" s="3"/>
      <c r="I56" s="3"/>
      <c r="J56" s="3"/>
    </row>
    <row r="57" spans="1:10" x14ac:dyDescent="0.25">
      <c r="A57" s="2" t="s">
        <v>73</v>
      </c>
      <c r="B57" s="14" t="s">
        <v>107</v>
      </c>
      <c r="C57" s="3"/>
      <c r="D57" s="3"/>
      <c r="E57" s="3"/>
      <c r="F57" s="3"/>
      <c r="G57" s="3"/>
      <c r="H57" s="3"/>
      <c r="I57" s="3"/>
      <c r="J57" s="3"/>
    </row>
    <row r="58" spans="1:10" x14ac:dyDescent="0.25">
      <c r="A58" s="3" t="s">
        <v>22</v>
      </c>
      <c r="B58" s="4" t="s">
        <v>108</v>
      </c>
      <c r="C58" s="3"/>
      <c r="D58" s="3"/>
      <c r="E58" s="3"/>
      <c r="F58" s="3"/>
      <c r="G58" s="3"/>
      <c r="H58" s="3"/>
      <c r="I58" s="3"/>
      <c r="J58" s="3"/>
    </row>
    <row r="59" spans="1:10" ht="30" x14ac:dyDescent="0.25">
      <c r="A59" s="3" t="s">
        <v>22</v>
      </c>
      <c r="B59" s="4" t="s">
        <v>109</v>
      </c>
      <c r="C59" s="3"/>
      <c r="D59" s="3"/>
      <c r="E59" s="3"/>
      <c r="F59" s="3"/>
      <c r="G59" s="3"/>
      <c r="H59" s="3"/>
      <c r="I59" s="3"/>
      <c r="J59" s="3"/>
    </row>
    <row r="60" spans="1:10" x14ac:dyDescent="0.25">
      <c r="A60" s="2" t="s">
        <v>77</v>
      </c>
      <c r="B60" s="14" t="s">
        <v>110</v>
      </c>
      <c r="C60" s="3"/>
      <c r="D60" s="3"/>
      <c r="E60" s="3"/>
      <c r="F60" s="3"/>
      <c r="G60" s="3"/>
      <c r="H60" s="3"/>
      <c r="I60" s="3"/>
      <c r="J60" s="3"/>
    </row>
    <row r="61" spans="1:10" x14ac:dyDescent="0.25">
      <c r="A61" s="3" t="s">
        <v>22</v>
      </c>
      <c r="B61" s="4" t="s">
        <v>111</v>
      </c>
      <c r="C61" s="3"/>
      <c r="D61" s="3"/>
      <c r="E61" s="3"/>
      <c r="F61" s="3"/>
      <c r="G61" s="3"/>
      <c r="H61" s="3"/>
      <c r="I61" s="3"/>
      <c r="J61" s="3"/>
    </row>
    <row r="62" spans="1:10" x14ac:dyDescent="0.25">
      <c r="A62" s="3" t="s">
        <v>22</v>
      </c>
      <c r="B62" s="4" t="s">
        <v>112</v>
      </c>
      <c r="C62" s="3"/>
      <c r="D62" s="3"/>
      <c r="E62" s="3"/>
      <c r="F62" s="3"/>
      <c r="G62" s="3"/>
      <c r="H62" s="3"/>
      <c r="I62" s="3"/>
      <c r="J62" s="3"/>
    </row>
    <row r="63" spans="1:10" x14ac:dyDescent="0.25">
      <c r="A63" s="2" t="s">
        <v>113</v>
      </c>
      <c r="B63" s="14" t="s">
        <v>114</v>
      </c>
      <c r="C63" s="3"/>
      <c r="D63" s="3"/>
      <c r="E63" s="3"/>
      <c r="F63" s="3"/>
      <c r="G63" s="3"/>
      <c r="H63" s="3"/>
      <c r="I63" s="3"/>
      <c r="J63" s="3"/>
    </row>
    <row r="64" spans="1:10" ht="30" x14ac:dyDescent="0.25">
      <c r="A64" s="3"/>
      <c r="B64" s="5" t="s">
        <v>115</v>
      </c>
      <c r="C64" s="3"/>
      <c r="D64" s="3"/>
      <c r="E64" s="3"/>
      <c r="F64" s="3"/>
      <c r="G64" s="3"/>
      <c r="H64" s="3"/>
      <c r="I64" s="3"/>
      <c r="J64" s="3"/>
    </row>
    <row r="65" spans="1:10" x14ac:dyDescent="0.25">
      <c r="A65" s="3"/>
      <c r="B65" s="5" t="s">
        <v>116</v>
      </c>
      <c r="C65" s="3"/>
      <c r="D65" s="3"/>
      <c r="E65" s="3"/>
      <c r="F65" s="3"/>
      <c r="G65" s="3"/>
      <c r="H65" s="3"/>
      <c r="I65" s="3"/>
      <c r="J65" s="3"/>
    </row>
    <row r="66" spans="1:10" x14ac:dyDescent="0.25">
      <c r="A66" s="15" t="s">
        <v>118</v>
      </c>
    </row>
    <row r="67" spans="1:10" x14ac:dyDescent="0.25">
      <c r="A67" s="562" t="s">
        <v>119</v>
      </c>
      <c r="B67" s="562"/>
      <c r="C67" s="562"/>
      <c r="D67" s="562"/>
      <c r="E67" s="562"/>
      <c r="F67" s="562"/>
      <c r="G67" s="562"/>
      <c r="H67" s="562"/>
      <c r="I67" s="562"/>
      <c r="J67" s="562"/>
    </row>
    <row r="68" spans="1:10" x14ac:dyDescent="0.25">
      <c r="A68" s="6" t="s">
        <v>117</v>
      </c>
    </row>
  </sheetData>
  <mergeCells count="10">
    <mergeCell ref="A1:J1"/>
    <mergeCell ref="A2:J2"/>
    <mergeCell ref="A3:J3"/>
    <mergeCell ref="I4:J4"/>
    <mergeCell ref="A67:J67"/>
    <mergeCell ref="A5:A6"/>
    <mergeCell ref="B5:B6"/>
    <mergeCell ref="C5:C6"/>
    <mergeCell ref="D5:I5"/>
    <mergeCell ref="J5:J6"/>
  </mergeCell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sheetPr>
  <dimension ref="A1:E20"/>
  <sheetViews>
    <sheetView workbookViewId="0"/>
  </sheetViews>
  <sheetFormatPr defaultRowHeight="15" x14ac:dyDescent="0.25"/>
  <cols>
    <col min="1" max="1" width="6.5703125" customWidth="1"/>
    <col min="2" max="2" width="44.7109375" customWidth="1"/>
    <col min="3" max="5" width="12.7109375" customWidth="1"/>
  </cols>
  <sheetData>
    <row r="1" spans="1:5" ht="15.75" x14ac:dyDescent="0.25">
      <c r="E1" s="25" t="s">
        <v>630</v>
      </c>
    </row>
    <row r="2" spans="1:5" ht="25.5" customHeight="1" x14ac:dyDescent="0.25">
      <c r="A2" s="594" t="s">
        <v>631</v>
      </c>
      <c r="B2" s="594"/>
      <c r="C2" s="594"/>
      <c r="D2" s="594"/>
      <c r="E2" s="594"/>
    </row>
    <row r="3" spans="1:5" ht="15.75" x14ac:dyDescent="0.25">
      <c r="A3" s="594" t="s">
        <v>632</v>
      </c>
      <c r="B3" s="594"/>
      <c r="C3" s="594"/>
      <c r="D3" s="594"/>
      <c r="E3" s="594"/>
    </row>
    <row r="4" spans="1:5" ht="15.75" x14ac:dyDescent="0.25">
      <c r="A4" s="551" t="s">
        <v>126</v>
      </c>
      <c r="B4" s="551"/>
      <c r="C4" s="551"/>
      <c r="D4" s="551"/>
      <c r="E4" s="551"/>
    </row>
    <row r="5" spans="1:5" ht="15.75" x14ac:dyDescent="0.25">
      <c r="E5" s="26" t="s">
        <v>56</v>
      </c>
    </row>
    <row r="6" spans="1:5" ht="31.5" x14ac:dyDescent="0.25">
      <c r="A6" s="29" t="s">
        <v>3</v>
      </c>
      <c r="B6" s="29" t="s">
        <v>4</v>
      </c>
      <c r="C6" s="29" t="s">
        <v>618</v>
      </c>
      <c r="D6" s="29" t="s">
        <v>357</v>
      </c>
      <c r="E6" s="29" t="s">
        <v>374</v>
      </c>
    </row>
    <row r="7" spans="1:5" ht="15.75" x14ac:dyDescent="0.25">
      <c r="A7" s="29" t="s">
        <v>15</v>
      </c>
      <c r="B7" s="29" t="s">
        <v>16</v>
      </c>
      <c r="C7" s="29">
        <v>1</v>
      </c>
      <c r="D7" s="29">
        <v>2</v>
      </c>
      <c r="E7" s="29" t="s">
        <v>269</v>
      </c>
    </row>
    <row r="8" spans="1:5" ht="19.5" customHeight="1" x14ac:dyDescent="0.25">
      <c r="A8" s="29"/>
      <c r="B8" s="30" t="s">
        <v>133</v>
      </c>
      <c r="C8" s="28"/>
      <c r="D8" s="28"/>
      <c r="E8" s="28"/>
    </row>
    <row r="9" spans="1:5" ht="19.5" customHeight="1" x14ac:dyDescent="0.25">
      <c r="A9" s="28">
        <v>1</v>
      </c>
      <c r="B9" s="31" t="s">
        <v>633</v>
      </c>
      <c r="C9" s="28"/>
      <c r="D9" s="28"/>
      <c r="E9" s="28"/>
    </row>
    <row r="10" spans="1:5" ht="19.5" customHeight="1" x14ac:dyDescent="0.25">
      <c r="A10" s="28" t="s">
        <v>22</v>
      </c>
      <c r="B10" s="32" t="s">
        <v>634</v>
      </c>
      <c r="C10" s="28"/>
      <c r="D10" s="28"/>
      <c r="E10" s="28"/>
    </row>
    <row r="11" spans="1:5" ht="19.5" customHeight="1" x14ac:dyDescent="0.25">
      <c r="A11" s="28" t="s">
        <v>22</v>
      </c>
      <c r="B11" s="32" t="s">
        <v>635</v>
      </c>
      <c r="C11" s="28"/>
      <c r="D11" s="28"/>
      <c r="E11" s="28"/>
    </row>
    <row r="12" spans="1:5" ht="19.5" customHeight="1" x14ac:dyDescent="0.25">
      <c r="A12" s="28">
        <v>2</v>
      </c>
      <c r="B12" s="31" t="s">
        <v>636</v>
      </c>
      <c r="C12" s="28"/>
      <c r="D12" s="28"/>
      <c r="E12" s="28"/>
    </row>
    <row r="13" spans="1:5" ht="19.5" customHeight="1" x14ac:dyDescent="0.25">
      <c r="A13" s="28">
        <v>3</v>
      </c>
      <c r="B13" s="31" t="s">
        <v>637</v>
      </c>
      <c r="C13" s="28"/>
      <c r="D13" s="28"/>
      <c r="E13" s="28"/>
    </row>
    <row r="14" spans="1:5" ht="19.5" customHeight="1" x14ac:dyDescent="0.25">
      <c r="A14" s="28">
        <v>4</v>
      </c>
      <c r="B14" s="31" t="s">
        <v>638</v>
      </c>
      <c r="C14" s="28"/>
      <c r="D14" s="28"/>
      <c r="E14" s="28"/>
    </row>
    <row r="15" spans="1:5" ht="19.5" customHeight="1" x14ac:dyDescent="0.25">
      <c r="A15" s="28">
        <v>5</v>
      </c>
      <c r="B15" s="31" t="s">
        <v>639</v>
      </c>
      <c r="C15" s="28"/>
      <c r="D15" s="28"/>
      <c r="E15" s="28"/>
    </row>
    <row r="16" spans="1:5" ht="19.5" customHeight="1" x14ac:dyDescent="0.25">
      <c r="A16" s="28">
        <v>6</v>
      </c>
      <c r="B16" s="31" t="s">
        <v>640</v>
      </c>
      <c r="C16" s="28"/>
      <c r="D16" s="28"/>
      <c r="E16" s="28"/>
    </row>
    <row r="17" spans="1:5" ht="19.5" customHeight="1" x14ac:dyDescent="0.25">
      <c r="A17" s="28">
        <v>7</v>
      </c>
      <c r="B17" s="31" t="s">
        <v>641</v>
      </c>
      <c r="C17" s="28"/>
      <c r="D17" s="28"/>
      <c r="E17" s="28"/>
    </row>
    <row r="18" spans="1:5" ht="19.5" customHeight="1" x14ac:dyDescent="0.25">
      <c r="A18" s="28">
        <v>8</v>
      </c>
      <c r="B18" s="31"/>
      <c r="C18" s="28"/>
      <c r="D18" s="28"/>
      <c r="E18" s="28"/>
    </row>
    <row r="19" spans="1:5" ht="19.5" customHeight="1" x14ac:dyDescent="0.25">
      <c r="A19" s="28">
        <v>9</v>
      </c>
      <c r="B19" s="31"/>
      <c r="C19" s="28"/>
      <c r="D19" s="28"/>
      <c r="E19" s="28"/>
    </row>
    <row r="20" spans="1:5" ht="19.5" customHeight="1" x14ac:dyDescent="0.25">
      <c r="A20" s="28">
        <v>10</v>
      </c>
      <c r="B20" s="31"/>
      <c r="C20" s="28"/>
      <c r="D20" s="28"/>
      <c r="E20" s="28"/>
    </row>
  </sheetData>
  <mergeCells count="3">
    <mergeCell ref="A2:E2"/>
    <mergeCell ref="A3:E3"/>
    <mergeCell ref="A4:E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A1:G41"/>
  <sheetViews>
    <sheetView workbookViewId="0">
      <selection activeCell="F14" sqref="F14"/>
    </sheetView>
  </sheetViews>
  <sheetFormatPr defaultRowHeight="15" x14ac:dyDescent="0.25"/>
  <cols>
    <col min="1" max="1" width="5.7109375" customWidth="1"/>
    <col min="2" max="2" width="41.28515625" customWidth="1"/>
  </cols>
  <sheetData>
    <row r="1" spans="1:7" ht="15.75" x14ac:dyDescent="0.25">
      <c r="G1" s="25" t="s">
        <v>642</v>
      </c>
    </row>
    <row r="2" spans="1:7" ht="32.25" customHeight="1" x14ac:dyDescent="0.25">
      <c r="A2" s="594" t="s">
        <v>643</v>
      </c>
      <c r="B2" s="594"/>
      <c r="C2" s="594"/>
      <c r="D2" s="594"/>
      <c r="E2" s="594"/>
      <c r="F2" s="594"/>
      <c r="G2" s="594"/>
    </row>
    <row r="3" spans="1:7" ht="15.75" x14ac:dyDescent="0.25">
      <c r="A3" s="551" t="s">
        <v>512</v>
      </c>
      <c r="B3" s="551"/>
      <c r="C3" s="551"/>
      <c r="D3" s="551"/>
      <c r="E3" s="551"/>
      <c r="F3" s="551"/>
      <c r="G3" s="551"/>
    </row>
    <row r="4" spans="1:7" ht="15.75" x14ac:dyDescent="0.25">
      <c r="G4" s="26" t="s">
        <v>56</v>
      </c>
    </row>
    <row r="5" spans="1:7" ht="21.75" customHeight="1" x14ac:dyDescent="0.25">
      <c r="A5" s="595" t="s">
        <v>3</v>
      </c>
      <c r="B5" s="595" t="s">
        <v>4</v>
      </c>
      <c r="C5" s="595" t="s">
        <v>988</v>
      </c>
      <c r="D5" s="595" t="s">
        <v>989</v>
      </c>
      <c r="E5" s="595" t="s">
        <v>990</v>
      </c>
      <c r="F5" s="595" t="s">
        <v>434</v>
      </c>
      <c r="G5" s="595"/>
    </row>
    <row r="6" spans="1:7" ht="92.25" customHeight="1" x14ac:dyDescent="0.25">
      <c r="A6" s="595"/>
      <c r="B6" s="595"/>
      <c r="C6" s="595"/>
      <c r="D6" s="595"/>
      <c r="E6" s="595"/>
      <c r="F6" s="29" t="s">
        <v>233</v>
      </c>
      <c r="G6" s="29" t="s">
        <v>415</v>
      </c>
    </row>
    <row r="7" spans="1:7" ht="15.75" x14ac:dyDescent="0.25">
      <c r="A7" s="29" t="s">
        <v>15</v>
      </c>
      <c r="B7" s="29" t="s">
        <v>16</v>
      </c>
      <c r="C7" s="29">
        <v>1</v>
      </c>
      <c r="D7" s="29">
        <v>2</v>
      </c>
      <c r="E7" s="29">
        <v>3</v>
      </c>
      <c r="F7" s="29">
        <v>4</v>
      </c>
      <c r="G7" s="29">
        <v>5</v>
      </c>
    </row>
    <row r="8" spans="1:7" ht="15.75" x14ac:dyDescent="0.25">
      <c r="A8" s="29" t="s">
        <v>15</v>
      </c>
      <c r="B8" s="30" t="s">
        <v>513</v>
      </c>
      <c r="C8" s="31"/>
      <c r="D8" s="31"/>
      <c r="E8" s="31"/>
      <c r="F8" s="31"/>
      <c r="G8" s="31"/>
    </row>
    <row r="9" spans="1:7" ht="15.75" x14ac:dyDescent="0.25">
      <c r="A9" s="29" t="s">
        <v>83</v>
      </c>
      <c r="B9" s="30" t="s">
        <v>644</v>
      </c>
      <c r="C9" s="31"/>
      <c r="D9" s="31"/>
      <c r="E9" s="31"/>
      <c r="F9" s="31"/>
      <c r="G9" s="31"/>
    </row>
    <row r="10" spans="1:7" ht="15.75" x14ac:dyDescent="0.25">
      <c r="A10" s="28">
        <v>1</v>
      </c>
      <c r="B10" s="31" t="s">
        <v>301</v>
      </c>
      <c r="C10" s="31"/>
      <c r="D10" s="31"/>
      <c r="E10" s="31"/>
      <c r="F10" s="31"/>
      <c r="G10" s="31"/>
    </row>
    <row r="11" spans="1:7" ht="15.75" x14ac:dyDescent="0.25">
      <c r="A11" s="28">
        <v>2</v>
      </c>
      <c r="B11" s="31" t="s">
        <v>302</v>
      </c>
      <c r="C11" s="31"/>
      <c r="D11" s="31"/>
      <c r="E11" s="31"/>
      <c r="F11" s="31"/>
      <c r="G11" s="31"/>
    </row>
    <row r="12" spans="1:7" ht="15.75" x14ac:dyDescent="0.25">
      <c r="A12" s="28" t="s">
        <v>22</v>
      </c>
      <c r="B12" s="31" t="s">
        <v>240</v>
      </c>
      <c r="C12" s="31"/>
      <c r="D12" s="31"/>
      <c r="E12" s="31"/>
      <c r="F12" s="31"/>
      <c r="G12" s="31"/>
    </row>
    <row r="13" spans="1:7" ht="15.75" x14ac:dyDescent="0.25">
      <c r="A13" s="28" t="s">
        <v>22</v>
      </c>
      <c r="B13" s="31" t="s">
        <v>88</v>
      </c>
      <c r="C13" s="31"/>
      <c r="D13" s="31"/>
      <c r="E13" s="31"/>
      <c r="F13" s="31"/>
      <c r="G13" s="31"/>
    </row>
    <row r="14" spans="1:7" ht="15.75" x14ac:dyDescent="0.25">
      <c r="A14" s="28">
        <v>3</v>
      </c>
      <c r="B14" s="31" t="s">
        <v>514</v>
      </c>
      <c r="C14" s="31"/>
      <c r="D14" s="31"/>
      <c r="E14" s="31"/>
      <c r="F14" s="31"/>
      <c r="G14" s="31"/>
    </row>
    <row r="15" spans="1:7" ht="15.75" x14ac:dyDescent="0.25">
      <c r="A15" s="28">
        <v>4</v>
      </c>
      <c r="B15" s="31" t="s">
        <v>303</v>
      </c>
      <c r="C15" s="31"/>
      <c r="D15" s="31"/>
      <c r="E15" s="31"/>
      <c r="F15" s="31"/>
      <c r="G15" s="31"/>
    </row>
    <row r="16" spans="1:7" ht="15.75" x14ac:dyDescent="0.25">
      <c r="A16" s="28">
        <v>5</v>
      </c>
      <c r="B16" s="31" t="s">
        <v>243</v>
      </c>
      <c r="C16" s="31"/>
      <c r="D16" s="31"/>
      <c r="E16" s="31"/>
      <c r="F16" s="31"/>
      <c r="G16" s="31"/>
    </row>
    <row r="17" spans="1:7" ht="15.75" x14ac:dyDescent="0.25">
      <c r="A17" s="29" t="s">
        <v>70</v>
      </c>
      <c r="B17" s="30" t="s">
        <v>304</v>
      </c>
      <c r="C17" s="31"/>
      <c r="D17" s="31"/>
      <c r="E17" s="31"/>
      <c r="F17" s="31"/>
      <c r="G17" s="31"/>
    </row>
    <row r="18" spans="1:7" ht="31.5" x14ac:dyDescent="0.25">
      <c r="A18" s="28">
        <v>1</v>
      </c>
      <c r="B18" s="31" t="s">
        <v>515</v>
      </c>
      <c r="C18" s="31"/>
      <c r="D18" s="31"/>
      <c r="E18" s="31"/>
      <c r="F18" s="31"/>
      <c r="G18" s="31"/>
    </row>
    <row r="19" spans="1:7" ht="15.75" x14ac:dyDescent="0.25">
      <c r="A19" s="28">
        <v>2</v>
      </c>
      <c r="B19" s="31" t="s">
        <v>313</v>
      </c>
      <c r="C19" s="31"/>
      <c r="D19" s="31"/>
      <c r="E19" s="31"/>
      <c r="F19" s="31"/>
      <c r="G19" s="31"/>
    </row>
    <row r="20" spans="1:7" ht="15.75" x14ac:dyDescent="0.25">
      <c r="A20" s="28" t="s">
        <v>22</v>
      </c>
      <c r="B20" s="31" t="s">
        <v>307</v>
      </c>
      <c r="C20" s="31"/>
      <c r="D20" s="31"/>
      <c r="E20" s="31"/>
      <c r="F20" s="31"/>
      <c r="G20" s="31"/>
    </row>
    <row r="21" spans="1:7" ht="15.75" x14ac:dyDescent="0.25">
      <c r="A21" s="28" t="s">
        <v>22</v>
      </c>
      <c r="B21" s="31" t="s">
        <v>308</v>
      </c>
      <c r="C21" s="31"/>
      <c r="D21" s="31"/>
      <c r="E21" s="31"/>
      <c r="F21" s="31"/>
      <c r="G21" s="31"/>
    </row>
    <row r="22" spans="1:7" ht="15.75" x14ac:dyDescent="0.25">
      <c r="A22" s="28">
        <v>3</v>
      </c>
      <c r="B22" s="31" t="s">
        <v>251</v>
      </c>
      <c r="C22" s="31"/>
      <c r="D22" s="31"/>
      <c r="E22" s="31"/>
      <c r="F22" s="31"/>
      <c r="G22" s="31"/>
    </row>
    <row r="23" spans="1:7" ht="15.75" x14ac:dyDescent="0.25">
      <c r="A23" s="29" t="s">
        <v>73</v>
      </c>
      <c r="B23" s="30" t="s">
        <v>645</v>
      </c>
      <c r="C23" s="31"/>
      <c r="D23" s="31"/>
      <c r="E23" s="31"/>
      <c r="F23" s="31"/>
      <c r="G23" s="31"/>
    </row>
    <row r="24" spans="1:7" ht="15.75" x14ac:dyDescent="0.25">
      <c r="A24" s="29" t="s">
        <v>16</v>
      </c>
      <c r="B24" s="30" t="s">
        <v>516</v>
      </c>
      <c r="C24" s="31"/>
      <c r="D24" s="31"/>
      <c r="E24" s="31"/>
      <c r="F24" s="31"/>
      <c r="G24" s="31"/>
    </row>
    <row r="25" spans="1:7" ht="15.75" x14ac:dyDescent="0.25">
      <c r="A25" s="29" t="s">
        <v>83</v>
      </c>
      <c r="B25" s="30" t="s">
        <v>644</v>
      </c>
      <c r="C25" s="31"/>
      <c r="D25" s="31"/>
      <c r="E25" s="31"/>
      <c r="F25" s="31"/>
      <c r="G25" s="31"/>
    </row>
    <row r="26" spans="1:7" ht="15.75" x14ac:dyDescent="0.25">
      <c r="A26" s="28">
        <v>1</v>
      </c>
      <c r="B26" s="31" t="s">
        <v>301</v>
      </c>
      <c r="C26" s="31"/>
      <c r="D26" s="31"/>
      <c r="E26" s="31"/>
      <c r="F26" s="31"/>
      <c r="G26" s="31"/>
    </row>
    <row r="27" spans="1:7" ht="15.75" x14ac:dyDescent="0.25">
      <c r="A27" s="28">
        <v>2</v>
      </c>
      <c r="B27" s="31" t="s">
        <v>302</v>
      </c>
      <c r="C27" s="31"/>
      <c r="D27" s="31"/>
      <c r="E27" s="31"/>
      <c r="F27" s="31"/>
      <c r="G27" s="31"/>
    </row>
    <row r="28" spans="1:7" ht="15.75" x14ac:dyDescent="0.25">
      <c r="A28" s="28" t="s">
        <v>22</v>
      </c>
      <c r="B28" s="31" t="s">
        <v>240</v>
      </c>
      <c r="C28" s="31"/>
      <c r="D28" s="31"/>
      <c r="E28" s="31"/>
      <c r="F28" s="31"/>
      <c r="G28" s="31"/>
    </row>
    <row r="29" spans="1:7" ht="15.75" x14ac:dyDescent="0.25">
      <c r="A29" s="28" t="s">
        <v>22</v>
      </c>
      <c r="B29" s="31" t="s">
        <v>88</v>
      </c>
      <c r="C29" s="31"/>
      <c r="D29" s="31"/>
      <c r="E29" s="31"/>
      <c r="F29" s="31"/>
      <c r="G29" s="31"/>
    </row>
    <row r="30" spans="1:7" ht="15.75" x14ac:dyDescent="0.25">
      <c r="A30" s="28">
        <v>3</v>
      </c>
      <c r="B30" s="31" t="s">
        <v>303</v>
      </c>
      <c r="C30" s="31"/>
      <c r="D30" s="31"/>
      <c r="E30" s="31"/>
      <c r="F30" s="31"/>
      <c r="G30" s="31"/>
    </row>
    <row r="31" spans="1:7" ht="15.75" x14ac:dyDescent="0.25">
      <c r="A31" s="28">
        <v>4</v>
      </c>
      <c r="B31" s="31" t="s">
        <v>243</v>
      </c>
      <c r="C31" s="31"/>
      <c r="D31" s="31"/>
      <c r="E31" s="31"/>
      <c r="F31" s="31"/>
      <c r="G31" s="31"/>
    </row>
    <row r="32" spans="1:7" ht="15.75" x14ac:dyDescent="0.25">
      <c r="A32" s="29" t="s">
        <v>70</v>
      </c>
      <c r="B32" s="30" t="s">
        <v>646</v>
      </c>
      <c r="C32" s="31"/>
      <c r="D32" s="31"/>
      <c r="E32" s="31"/>
      <c r="F32" s="31"/>
      <c r="G32" s="31"/>
    </row>
    <row r="33" spans="1:7" ht="31.5" x14ac:dyDescent="0.25">
      <c r="A33" s="28">
        <v>1</v>
      </c>
      <c r="B33" s="31" t="s">
        <v>517</v>
      </c>
      <c r="C33" s="31"/>
      <c r="D33" s="31"/>
      <c r="E33" s="31"/>
      <c r="F33" s="31"/>
      <c r="G33" s="31"/>
    </row>
    <row r="34" spans="1:7" ht="15.75" x14ac:dyDescent="0.25">
      <c r="A34" s="28">
        <v>2</v>
      </c>
      <c r="B34" s="31" t="s">
        <v>647</v>
      </c>
      <c r="C34" s="31"/>
      <c r="D34" s="31"/>
      <c r="E34" s="31"/>
      <c r="F34" s="31"/>
      <c r="G34" s="31"/>
    </row>
    <row r="35" spans="1:7" ht="15.75" x14ac:dyDescent="0.25">
      <c r="A35" s="28" t="s">
        <v>22</v>
      </c>
      <c r="B35" s="31" t="s">
        <v>307</v>
      </c>
      <c r="C35" s="31"/>
      <c r="D35" s="31"/>
      <c r="E35" s="31"/>
      <c r="F35" s="31"/>
      <c r="G35" s="31"/>
    </row>
    <row r="36" spans="1:7" ht="15.75" x14ac:dyDescent="0.25">
      <c r="A36" s="28" t="s">
        <v>22</v>
      </c>
      <c r="B36" s="31" t="s">
        <v>308</v>
      </c>
      <c r="C36" s="31"/>
      <c r="D36" s="31"/>
      <c r="E36" s="31"/>
      <c r="F36" s="31"/>
      <c r="G36" s="31"/>
    </row>
    <row r="37" spans="1:7" ht="15.75" x14ac:dyDescent="0.25">
      <c r="A37" s="28">
        <v>3</v>
      </c>
      <c r="B37" s="31" t="s">
        <v>251</v>
      </c>
      <c r="C37" s="31"/>
      <c r="D37" s="31"/>
      <c r="E37" s="31"/>
      <c r="F37" s="31"/>
      <c r="G37" s="31"/>
    </row>
    <row r="38" spans="1:7" ht="24" customHeight="1" x14ac:dyDescent="0.25">
      <c r="A38" s="27" t="s">
        <v>649</v>
      </c>
    </row>
    <row r="39" spans="1:7" ht="34.5" customHeight="1" x14ac:dyDescent="0.25">
      <c r="A39" s="593" t="s">
        <v>650</v>
      </c>
      <c r="B39" s="593"/>
      <c r="C39" s="593"/>
      <c r="D39" s="593"/>
      <c r="E39" s="593"/>
      <c r="F39" s="593"/>
      <c r="G39" s="593"/>
    </row>
    <row r="40" spans="1:7" ht="21" customHeight="1" x14ac:dyDescent="0.25">
      <c r="A40" s="593" t="s">
        <v>648</v>
      </c>
      <c r="B40" s="593"/>
      <c r="C40" s="593"/>
      <c r="D40" s="593"/>
      <c r="E40" s="593"/>
      <c r="F40" s="593"/>
      <c r="G40" s="593"/>
    </row>
    <row r="41" spans="1:7" ht="40.5" customHeight="1" x14ac:dyDescent="0.25">
      <c r="A41" s="593" t="s">
        <v>448</v>
      </c>
      <c r="B41" s="593"/>
      <c r="C41" s="593"/>
      <c r="D41" s="593"/>
      <c r="E41" s="593"/>
      <c r="F41" s="593"/>
      <c r="G41" s="593"/>
    </row>
  </sheetData>
  <mergeCells count="11">
    <mergeCell ref="F5:G5"/>
    <mergeCell ref="A39:G39"/>
    <mergeCell ref="A40:G40"/>
    <mergeCell ref="A41:G41"/>
    <mergeCell ref="A2:G2"/>
    <mergeCell ref="A3:G3"/>
    <mergeCell ref="A5:A6"/>
    <mergeCell ref="B5:B6"/>
    <mergeCell ref="C5:C6"/>
    <mergeCell ref="D5:D6"/>
    <mergeCell ref="E5:E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sheetPr>
  <dimension ref="A1:N23"/>
  <sheetViews>
    <sheetView workbookViewId="0"/>
  </sheetViews>
  <sheetFormatPr defaultRowHeight="15" x14ac:dyDescent="0.25"/>
  <cols>
    <col min="1" max="1" width="6.28515625" customWidth="1"/>
    <col min="2" max="2" width="24.42578125" customWidth="1"/>
  </cols>
  <sheetData>
    <row r="1" spans="1:14" ht="15.75" x14ac:dyDescent="0.25">
      <c r="N1" s="25" t="s">
        <v>651</v>
      </c>
    </row>
    <row r="2" spans="1:14" ht="15.75" x14ac:dyDescent="0.25">
      <c r="A2" s="594" t="s">
        <v>652</v>
      </c>
      <c r="B2" s="594"/>
      <c r="C2" s="594"/>
      <c r="D2" s="594"/>
      <c r="E2" s="594"/>
      <c r="F2" s="594"/>
      <c r="G2" s="594"/>
      <c r="H2" s="594"/>
      <c r="I2" s="594"/>
      <c r="J2" s="594"/>
      <c r="K2" s="594"/>
      <c r="L2" s="594"/>
      <c r="M2" s="594"/>
      <c r="N2" s="594"/>
    </row>
    <row r="3" spans="1:14" ht="15.75" x14ac:dyDescent="0.25">
      <c r="A3" s="594" t="s">
        <v>512</v>
      </c>
      <c r="B3" s="594"/>
      <c r="C3" s="594"/>
      <c r="D3" s="594"/>
      <c r="E3" s="594"/>
      <c r="F3" s="594"/>
      <c r="G3" s="594"/>
      <c r="H3" s="594"/>
      <c r="I3" s="594"/>
      <c r="J3" s="594"/>
      <c r="K3" s="594"/>
      <c r="L3" s="594"/>
      <c r="M3" s="594"/>
      <c r="N3" s="594"/>
    </row>
    <row r="4" spans="1:14" ht="15.75" x14ac:dyDescent="0.25">
      <c r="N4" s="26" t="s">
        <v>56</v>
      </c>
    </row>
    <row r="5" spans="1:14" ht="15.75" x14ac:dyDescent="0.25">
      <c r="A5" s="595" t="s">
        <v>3</v>
      </c>
      <c r="B5" s="595" t="s">
        <v>522</v>
      </c>
      <c r="C5" s="595" t="s">
        <v>357</v>
      </c>
      <c r="D5" s="595"/>
      <c r="E5" s="595"/>
      <c r="F5" s="595"/>
      <c r="G5" s="595" t="s">
        <v>356</v>
      </c>
      <c r="H5" s="595"/>
      <c r="I5" s="595"/>
      <c r="J5" s="595"/>
      <c r="K5" s="595" t="s">
        <v>374</v>
      </c>
      <c r="L5" s="595"/>
      <c r="M5" s="595"/>
      <c r="N5" s="595"/>
    </row>
    <row r="6" spans="1:14" ht="15.75" x14ac:dyDescent="0.25">
      <c r="A6" s="595"/>
      <c r="B6" s="595"/>
      <c r="C6" s="595" t="s">
        <v>130</v>
      </c>
      <c r="D6" s="595" t="s">
        <v>523</v>
      </c>
      <c r="E6" s="595"/>
      <c r="F6" s="595"/>
      <c r="G6" s="595" t="s">
        <v>130</v>
      </c>
      <c r="H6" s="595" t="s">
        <v>523</v>
      </c>
      <c r="I6" s="595"/>
      <c r="J6" s="595"/>
      <c r="K6" s="595" t="s">
        <v>130</v>
      </c>
      <c r="L6" s="595" t="s">
        <v>523</v>
      </c>
      <c r="M6" s="595"/>
      <c r="N6" s="595"/>
    </row>
    <row r="7" spans="1:14" ht="63" x14ac:dyDescent="0.25">
      <c r="A7" s="595"/>
      <c r="B7" s="595"/>
      <c r="C7" s="595"/>
      <c r="D7" s="29" t="s">
        <v>65</v>
      </c>
      <c r="E7" s="29" t="s">
        <v>285</v>
      </c>
      <c r="F7" s="29" t="s">
        <v>525</v>
      </c>
      <c r="G7" s="595"/>
      <c r="H7" s="29" t="s">
        <v>65</v>
      </c>
      <c r="I7" s="29" t="s">
        <v>285</v>
      </c>
      <c r="J7" s="29" t="s">
        <v>525</v>
      </c>
      <c r="K7" s="595"/>
      <c r="L7" s="29" t="s">
        <v>65</v>
      </c>
      <c r="M7" s="29" t="s">
        <v>285</v>
      </c>
      <c r="N7" s="29" t="s">
        <v>525</v>
      </c>
    </row>
    <row r="8" spans="1:14" ht="15.75" x14ac:dyDescent="0.25">
      <c r="A8" s="29" t="s">
        <v>15</v>
      </c>
      <c r="B8" s="29" t="s">
        <v>16</v>
      </c>
      <c r="C8" s="29">
        <v>1</v>
      </c>
      <c r="D8" s="29">
        <v>1</v>
      </c>
      <c r="E8" s="29">
        <v>3</v>
      </c>
      <c r="F8" s="29">
        <v>4</v>
      </c>
      <c r="G8" s="29">
        <v>5</v>
      </c>
      <c r="H8" s="29">
        <v>6</v>
      </c>
      <c r="I8" s="29">
        <v>7</v>
      </c>
      <c r="J8" s="29">
        <v>8</v>
      </c>
      <c r="K8" s="29" t="s">
        <v>527</v>
      </c>
      <c r="L8" s="29" t="s">
        <v>528</v>
      </c>
      <c r="M8" s="29" t="s">
        <v>529</v>
      </c>
      <c r="N8" s="29" t="s">
        <v>530</v>
      </c>
    </row>
    <row r="9" spans="1:14" ht="15.75" x14ac:dyDescent="0.25">
      <c r="A9" s="28"/>
      <c r="B9" s="30" t="s">
        <v>653</v>
      </c>
      <c r="C9" s="31"/>
      <c r="D9" s="31"/>
      <c r="E9" s="31"/>
      <c r="F9" s="31"/>
      <c r="G9" s="31"/>
      <c r="H9" s="31"/>
      <c r="I9" s="31"/>
      <c r="J9" s="31"/>
      <c r="K9" s="31"/>
      <c r="L9" s="31"/>
      <c r="M9" s="31"/>
      <c r="N9" s="31"/>
    </row>
    <row r="10" spans="1:14" ht="20.25" customHeight="1" x14ac:dyDescent="0.25">
      <c r="A10" s="28">
        <v>1</v>
      </c>
      <c r="B10" s="31" t="s">
        <v>169</v>
      </c>
      <c r="C10" s="31"/>
      <c r="D10" s="31"/>
      <c r="E10" s="31"/>
      <c r="F10" s="31"/>
      <c r="G10" s="31"/>
      <c r="H10" s="31"/>
      <c r="I10" s="31"/>
      <c r="J10" s="31"/>
      <c r="K10" s="31"/>
      <c r="L10" s="31"/>
      <c r="M10" s="31"/>
      <c r="N10" s="31"/>
    </row>
    <row r="11" spans="1:14" ht="20.25" customHeight="1" x14ac:dyDescent="0.25">
      <c r="A11" s="28">
        <v>2</v>
      </c>
      <c r="B11" s="31" t="s">
        <v>170</v>
      </c>
      <c r="C11" s="31"/>
      <c r="D11" s="31"/>
      <c r="E11" s="31"/>
      <c r="F11" s="31"/>
      <c r="G11" s="31"/>
      <c r="H11" s="31"/>
      <c r="I11" s="31"/>
      <c r="J11" s="31"/>
      <c r="K11" s="31"/>
      <c r="L11" s="31"/>
      <c r="M11" s="31"/>
      <c r="N11" s="31"/>
    </row>
    <row r="12" spans="1:14" ht="20.25" customHeight="1" x14ac:dyDescent="0.25">
      <c r="A12" s="28">
        <v>3</v>
      </c>
      <c r="B12" s="31" t="s">
        <v>609</v>
      </c>
      <c r="C12" s="31"/>
      <c r="D12" s="31"/>
      <c r="E12" s="31"/>
      <c r="F12" s="31"/>
      <c r="G12" s="31"/>
      <c r="H12" s="31"/>
      <c r="I12" s="31"/>
      <c r="J12" s="31"/>
      <c r="K12" s="31"/>
      <c r="L12" s="31"/>
      <c r="M12" s="31"/>
      <c r="N12" s="31"/>
    </row>
    <row r="13" spans="1:14" ht="20.25" customHeight="1" x14ac:dyDescent="0.25">
      <c r="A13" s="28">
        <v>4</v>
      </c>
      <c r="B13" s="31" t="s">
        <v>172</v>
      </c>
      <c r="C13" s="31"/>
      <c r="D13" s="31"/>
      <c r="E13" s="31"/>
      <c r="F13" s="31"/>
      <c r="G13" s="31"/>
      <c r="H13" s="31"/>
      <c r="I13" s="31"/>
      <c r="J13" s="31"/>
      <c r="K13" s="31"/>
      <c r="L13" s="31"/>
      <c r="M13" s="31"/>
      <c r="N13" s="31"/>
    </row>
    <row r="14" spans="1:14" ht="20.25" customHeight="1" x14ac:dyDescent="0.25">
      <c r="A14" s="28">
        <v>5</v>
      </c>
      <c r="B14" s="31" t="s">
        <v>654</v>
      </c>
      <c r="C14" s="31"/>
      <c r="D14" s="31"/>
      <c r="E14" s="31"/>
      <c r="F14" s="31"/>
      <c r="G14" s="31"/>
      <c r="H14" s="31"/>
      <c r="I14" s="31"/>
      <c r="J14" s="31"/>
      <c r="K14" s="31"/>
      <c r="L14" s="31"/>
      <c r="M14" s="31"/>
      <c r="N14" s="31"/>
    </row>
    <row r="15" spans="1:14" ht="20.25" customHeight="1" x14ac:dyDescent="0.25">
      <c r="A15" s="28">
        <v>6</v>
      </c>
      <c r="B15" s="31" t="s">
        <v>174</v>
      </c>
      <c r="C15" s="31"/>
      <c r="D15" s="31"/>
      <c r="E15" s="31"/>
      <c r="F15" s="31"/>
      <c r="G15" s="31"/>
      <c r="H15" s="31"/>
      <c r="I15" s="31"/>
      <c r="J15" s="31"/>
      <c r="K15" s="31"/>
      <c r="L15" s="31"/>
      <c r="M15" s="31"/>
      <c r="N15" s="31"/>
    </row>
    <row r="16" spans="1:14" ht="20.25" customHeight="1" x14ac:dyDescent="0.25">
      <c r="A16" s="28">
        <v>7</v>
      </c>
      <c r="B16" s="31" t="s">
        <v>175</v>
      </c>
      <c r="C16" s="31"/>
      <c r="D16" s="31"/>
      <c r="E16" s="31"/>
      <c r="F16" s="31"/>
      <c r="G16" s="31"/>
      <c r="H16" s="31"/>
      <c r="I16" s="31"/>
      <c r="J16" s="31"/>
      <c r="K16" s="31"/>
      <c r="L16" s="31"/>
      <c r="M16" s="31"/>
      <c r="N16" s="31"/>
    </row>
    <row r="17" spans="1:14" ht="20.25" customHeight="1" x14ac:dyDescent="0.25">
      <c r="A17" s="28">
        <v>8</v>
      </c>
      <c r="B17" s="31" t="s">
        <v>611</v>
      </c>
      <c r="C17" s="31"/>
      <c r="D17" s="31"/>
      <c r="E17" s="31"/>
      <c r="F17" s="31"/>
      <c r="G17" s="31"/>
      <c r="H17" s="31"/>
      <c r="I17" s="31"/>
      <c r="J17" s="31"/>
      <c r="K17" s="31"/>
      <c r="L17" s="31"/>
      <c r="M17" s="31"/>
      <c r="N17" s="31"/>
    </row>
    <row r="18" spans="1:14" ht="20.25" customHeight="1" x14ac:dyDescent="0.25">
      <c r="A18" s="28">
        <v>9</v>
      </c>
      <c r="B18" s="31" t="s">
        <v>588</v>
      </c>
      <c r="C18" s="31"/>
      <c r="D18" s="31"/>
      <c r="E18" s="31"/>
      <c r="F18" s="31"/>
      <c r="G18" s="31"/>
      <c r="H18" s="31"/>
      <c r="I18" s="31"/>
      <c r="J18" s="31"/>
      <c r="K18" s="31"/>
      <c r="L18" s="31"/>
      <c r="M18" s="31"/>
      <c r="N18" s="31"/>
    </row>
    <row r="19" spans="1:14" ht="20.25" customHeight="1" x14ac:dyDescent="0.25">
      <c r="A19" s="28">
        <v>10</v>
      </c>
      <c r="B19" s="37"/>
      <c r="C19" s="31"/>
      <c r="D19" s="31"/>
      <c r="E19" s="31"/>
      <c r="F19" s="31"/>
      <c r="G19" s="31"/>
      <c r="H19" s="31"/>
      <c r="I19" s="31"/>
      <c r="J19" s="31"/>
      <c r="K19" s="31"/>
      <c r="L19" s="31"/>
      <c r="M19" s="31"/>
      <c r="N19" s="31"/>
    </row>
    <row r="20" spans="1:14" ht="20.25" customHeight="1" x14ac:dyDescent="0.25">
      <c r="A20" s="28">
        <v>11</v>
      </c>
      <c r="B20" s="37"/>
      <c r="C20" s="31"/>
      <c r="D20" s="31"/>
      <c r="E20" s="31"/>
      <c r="F20" s="31"/>
      <c r="G20" s="31"/>
      <c r="H20" s="31"/>
      <c r="I20" s="31"/>
      <c r="J20" s="31"/>
      <c r="K20" s="31"/>
      <c r="L20" s="31"/>
      <c r="M20" s="31"/>
      <c r="N20" s="31"/>
    </row>
    <row r="21" spans="1:14" ht="15.75" x14ac:dyDescent="0.25">
      <c r="A21" s="27" t="s">
        <v>582</v>
      </c>
    </row>
    <row r="22" spans="1:14" ht="15.75" x14ac:dyDescent="0.25">
      <c r="A22" s="33" t="s">
        <v>655</v>
      </c>
    </row>
    <row r="23" spans="1:14" ht="15.75" x14ac:dyDescent="0.25">
      <c r="A23" s="33" t="s">
        <v>533</v>
      </c>
    </row>
  </sheetData>
  <mergeCells count="13">
    <mergeCell ref="G6:G7"/>
    <mergeCell ref="H6:J6"/>
    <mergeCell ref="K6:K7"/>
    <mergeCell ref="A2:N2"/>
    <mergeCell ref="A3:N3"/>
    <mergeCell ref="L6:N6"/>
    <mergeCell ref="A5:A7"/>
    <mergeCell ref="B5:B7"/>
    <mergeCell ref="C5:F5"/>
    <mergeCell ref="G5:J5"/>
    <mergeCell ref="K5:N5"/>
    <mergeCell ref="C6:C7"/>
    <mergeCell ref="D6:F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sheetPr>
  <dimension ref="A1:N35"/>
  <sheetViews>
    <sheetView topLeftCell="A12" zoomScale="120" zoomScaleNormal="120" workbookViewId="0">
      <selection activeCell="B29" sqref="B29"/>
    </sheetView>
  </sheetViews>
  <sheetFormatPr defaultColWidth="9.28515625" defaultRowHeight="15.75" x14ac:dyDescent="0.25"/>
  <cols>
    <col min="1" max="1" width="5.7109375" style="61" customWidth="1"/>
    <col min="2" max="2" width="26.140625" style="61" customWidth="1"/>
    <col min="3" max="3" width="12.85546875" style="61" customWidth="1"/>
    <col min="4" max="4" width="12.7109375" style="61" customWidth="1"/>
    <col min="5" max="5" width="11.42578125" style="61" customWidth="1"/>
    <col min="6" max="6" width="10.28515625" style="61" customWidth="1"/>
    <col min="7" max="9" width="9.7109375" style="61" bestFit="1" customWidth="1"/>
    <col min="10" max="10" width="11.28515625" style="61" customWidth="1"/>
    <col min="11" max="11" width="9.7109375" style="61" customWidth="1"/>
    <col min="12" max="12" width="9.42578125" style="61" customWidth="1"/>
    <col min="13" max="16384" width="9.28515625" style="61"/>
  </cols>
  <sheetData>
    <row r="1" spans="1:14" x14ac:dyDescent="0.25">
      <c r="L1" s="551" t="s">
        <v>1306</v>
      </c>
      <c r="M1" s="551"/>
      <c r="N1" s="551"/>
    </row>
    <row r="2" spans="1:14" ht="18" customHeight="1" x14ac:dyDescent="0.25">
      <c r="A2" s="591" t="s">
        <v>1728</v>
      </c>
      <c r="B2" s="591"/>
      <c r="C2" s="591"/>
      <c r="D2" s="591"/>
      <c r="E2" s="591"/>
      <c r="F2" s="591"/>
      <c r="G2" s="591"/>
      <c r="H2" s="591"/>
      <c r="I2" s="591"/>
      <c r="J2" s="591"/>
      <c r="K2" s="591"/>
      <c r="L2" s="591"/>
      <c r="M2" s="591"/>
      <c r="N2" s="591"/>
    </row>
    <row r="3" spans="1:14" ht="16.5" x14ac:dyDescent="0.25">
      <c r="A3" s="607" t="s">
        <v>1781</v>
      </c>
      <c r="B3" s="607"/>
      <c r="C3" s="607"/>
      <c r="D3" s="607"/>
      <c r="E3" s="607"/>
      <c r="F3" s="607"/>
      <c r="G3" s="607"/>
      <c r="H3" s="607"/>
      <c r="I3" s="607"/>
      <c r="J3" s="607"/>
      <c r="K3" s="607"/>
      <c r="L3" s="607"/>
      <c r="M3" s="607"/>
      <c r="N3" s="607"/>
    </row>
    <row r="4" spans="1:14" ht="16.5" hidden="1" x14ac:dyDescent="0.25">
      <c r="A4" s="587" t="s">
        <v>1391</v>
      </c>
      <c r="B4" s="587"/>
      <c r="C4" s="587"/>
      <c r="D4" s="587"/>
      <c r="E4" s="587"/>
      <c r="F4" s="587"/>
      <c r="G4" s="587"/>
      <c r="H4" s="587"/>
      <c r="I4" s="587"/>
      <c r="J4" s="587"/>
      <c r="K4" s="587"/>
      <c r="L4" s="587"/>
      <c r="M4" s="587"/>
      <c r="N4" s="587"/>
    </row>
    <row r="5" spans="1:14" ht="16.5" hidden="1" x14ac:dyDescent="0.25">
      <c r="A5" s="587" t="s">
        <v>1349</v>
      </c>
      <c r="B5" s="587"/>
      <c r="C5" s="587"/>
      <c r="D5" s="587"/>
      <c r="E5" s="587"/>
      <c r="F5" s="587"/>
      <c r="G5" s="587"/>
      <c r="H5" s="587"/>
      <c r="I5" s="587"/>
      <c r="J5" s="587"/>
      <c r="K5" s="587"/>
      <c r="L5" s="587"/>
      <c r="M5" s="587"/>
      <c r="N5" s="587"/>
    </row>
    <row r="6" spans="1:14" x14ac:dyDescent="0.25">
      <c r="L6" s="606" t="s">
        <v>56</v>
      </c>
      <c r="M6" s="606"/>
      <c r="N6" s="606"/>
    </row>
    <row r="7" spans="1:14" ht="24" customHeight="1" x14ac:dyDescent="0.25">
      <c r="A7" s="598" t="s">
        <v>3</v>
      </c>
      <c r="B7" s="598" t="s">
        <v>161</v>
      </c>
      <c r="C7" s="598" t="s">
        <v>537</v>
      </c>
      <c r="D7" s="598" t="s">
        <v>1013</v>
      </c>
      <c r="E7" s="595" t="s">
        <v>523</v>
      </c>
      <c r="F7" s="595"/>
      <c r="G7" s="595"/>
      <c r="H7" s="595"/>
      <c r="I7" s="595"/>
      <c r="J7" s="595"/>
      <c r="K7" s="595"/>
      <c r="L7" s="595"/>
      <c r="M7" s="595"/>
      <c r="N7" s="595"/>
    </row>
    <row r="8" spans="1:14" ht="39" customHeight="1" x14ac:dyDescent="0.25">
      <c r="A8" s="599"/>
      <c r="B8" s="599"/>
      <c r="C8" s="599"/>
      <c r="D8" s="599"/>
      <c r="E8" s="598" t="s">
        <v>1008</v>
      </c>
      <c r="F8" s="598" t="s">
        <v>1009</v>
      </c>
      <c r="G8" s="598" t="s">
        <v>1010</v>
      </c>
      <c r="H8" s="595" t="s">
        <v>1362</v>
      </c>
      <c r="I8" s="595"/>
      <c r="J8" s="603" t="s">
        <v>1273</v>
      </c>
      <c r="K8" s="604"/>
      <c r="L8" s="605"/>
      <c r="M8" s="598" t="s">
        <v>1011</v>
      </c>
      <c r="N8" s="601" t="s">
        <v>1012</v>
      </c>
    </row>
    <row r="9" spans="1:14" ht="72.75" customHeight="1" x14ac:dyDescent="0.25">
      <c r="A9" s="600"/>
      <c r="B9" s="600"/>
      <c r="C9" s="600"/>
      <c r="D9" s="600"/>
      <c r="E9" s="600"/>
      <c r="F9" s="600"/>
      <c r="G9" s="600"/>
      <c r="H9" s="63" t="s">
        <v>1361</v>
      </c>
      <c r="I9" s="184" t="s">
        <v>1363</v>
      </c>
      <c r="J9" s="29" t="s">
        <v>1019</v>
      </c>
      <c r="K9" s="29" t="s">
        <v>1014</v>
      </c>
      <c r="L9" s="29" t="s">
        <v>1015</v>
      </c>
      <c r="M9" s="600"/>
      <c r="N9" s="602"/>
    </row>
    <row r="10" spans="1:14" s="64" customFormat="1" ht="27" customHeight="1" x14ac:dyDescent="0.25">
      <c r="A10" s="418" t="s">
        <v>15</v>
      </c>
      <c r="B10" s="418" t="s">
        <v>16</v>
      </c>
      <c r="C10" s="418">
        <v>1</v>
      </c>
      <c r="D10" s="418" t="s">
        <v>1017</v>
      </c>
      <c r="E10" s="418">
        <v>3</v>
      </c>
      <c r="F10" s="418">
        <v>4</v>
      </c>
      <c r="G10" s="418">
        <v>5</v>
      </c>
      <c r="H10" s="418"/>
      <c r="I10" s="419">
        <v>6</v>
      </c>
      <c r="J10" s="418" t="s">
        <v>1016</v>
      </c>
      <c r="K10" s="418">
        <v>8</v>
      </c>
      <c r="L10" s="418">
        <v>9</v>
      </c>
      <c r="M10" s="418">
        <v>10</v>
      </c>
      <c r="N10" s="419">
        <v>11</v>
      </c>
    </row>
    <row r="11" spans="1:14" ht="21.95" customHeight="1" x14ac:dyDescent="0.25">
      <c r="A11" s="192"/>
      <c r="B11" s="189" t="s">
        <v>133</v>
      </c>
      <c r="C11" s="191">
        <f>D11</f>
        <v>144100</v>
      </c>
      <c r="D11" s="191">
        <f>SUM(D12:D30)</f>
        <v>144100</v>
      </c>
      <c r="E11" s="191">
        <f t="shared" ref="E11:N11" si="0">SUM(E12:E30)</f>
        <v>52400</v>
      </c>
      <c r="F11" s="191">
        <f t="shared" si="0"/>
        <v>21000</v>
      </c>
      <c r="G11" s="191">
        <f t="shared" si="0"/>
        <v>33500</v>
      </c>
      <c r="H11" s="191">
        <f t="shared" si="0"/>
        <v>20720</v>
      </c>
      <c r="I11" s="191">
        <f t="shared" si="0"/>
        <v>4080</v>
      </c>
      <c r="J11" s="191">
        <f t="shared" si="0"/>
        <v>5200</v>
      </c>
      <c r="K11" s="191">
        <f t="shared" si="0"/>
        <v>2120</v>
      </c>
      <c r="L11" s="191">
        <f t="shared" si="0"/>
        <v>3080</v>
      </c>
      <c r="M11" s="191">
        <f t="shared" si="0"/>
        <v>4500</v>
      </c>
      <c r="N11" s="191">
        <f t="shared" si="0"/>
        <v>2700</v>
      </c>
    </row>
    <row r="12" spans="1:14" ht="21.95" customHeight="1" x14ac:dyDescent="0.25">
      <c r="A12" s="192">
        <v>1</v>
      </c>
      <c r="B12" s="193" t="s">
        <v>991</v>
      </c>
      <c r="C12" s="185">
        <f>D12</f>
        <v>2160</v>
      </c>
      <c r="D12" s="185">
        <f>SUM(E12:I12)+J12+M12+N12</f>
        <v>2160</v>
      </c>
      <c r="E12" s="185"/>
      <c r="F12" s="185"/>
      <c r="G12" s="185"/>
      <c r="H12" s="185"/>
      <c r="I12" s="185"/>
      <c r="J12" s="185">
        <f t="shared" ref="J12:J30" si="1">K12+L12</f>
        <v>0</v>
      </c>
      <c r="K12" s="185"/>
      <c r="L12" s="185"/>
      <c r="M12" s="185"/>
      <c r="N12" s="185">
        <f>(2700-SUM(N16:N30))</f>
        <v>2160</v>
      </c>
    </row>
    <row r="13" spans="1:14" ht="21.95" customHeight="1" x14ac:dyDescent="0.25">
      <c r="A13" s="192">
        <v>2</v>
      </c>
      <c r="B13" s="193" t="s">
        <v>1006</v>
      </c>
      <c r="C13" s="185">
        <f>D13</f>
        <v>41350</v>
      </c>
      <c r="D13" s="185">
        <f t="shared" ref="D13:D27" si="2">SUM(E13:I13)+J13+M13+N13</f>
        <v>41350</v>
      </c>
      <c r="E13" s="185">
        <v>40250</v>
      </c>
      <c r="F13" s="185"/>
      <c r="G13" s="185"/>
      <c r="H13" s="185">
        <v>0</v>
      </c>
      <c r="I13" s="185"/>
      <c r="J13" s="185">
        <f t="shared" si="1"/>
        <v>1100</v>
      </c>
      <c r="K13" s="185">
        <v>1100</v>
      </c>
      <c r="L13" s="185"/>
      <c r="M13" s="185">
        <v>0</v>
      </c>
      <c r="N13" s="185">
        <v>0</v>
      </c>
    </row>
    <row r="14" spans="1:14" ht="21.95" customHeight="1" x14ac:dyDescent="0.25">
      <c r="A14" s="192">
        <v>3</v>
      </c>
      <c r="B14" s="193" t="s">
        <v>1272</v>
      </c>
      <c r="C14" s="185">
        <f t="shared" ref="C14:C30" si="3">D14</f>
        <v>70730</v>
      </c>
      <c r="D14" s="185">
        <f t="shared" si="2"/>
        <v>70730</v>
      </c>
      <c r="E14" s="185"/>
      <c r="F14" s="185">
        <v>14260</v>
      </c>
      <c r="G14" s="185">
        <v>33500</v>
      </c>
      <c r="H14" s="185">
        <v>20720</v>
      </c>
      <c r="I14" s="185"/>
      <c r="J14" s="185">
        <f t="shared" si="1"/>
        <v>2250</v>
      </c>
      <c r="K14" s="185"/>
      <c r="L14" s="185">
        <v>2250</v>
      </c>
      <c r="M14" s="185">
        <v>0</v>
      </c>
      <c r="N14" s="185">
        <v>0</v>
      </c>
    </row>
    <row r="15" spans="1:14" ht="21.95" customHeight="1" x14ac:dyDescent="0.25">
      <c r="A15" s="192">
        <v>4</v>
      </c>
      <c r="B15" s="193" t="s">
        <v>1007</v>
      </c>
      <c r="C15" s="185">
        <f t="shared" si="3"/>
        <v>4500</v>
      </c>
      <c r="D15" s="185">
        <f t="shared" si="2"/>
        <v>4500</v>
      </c>
      <c r="E15" s="185"/>
      <c r="F15" s="185"/>
      <c r="G15" s="185"/>
      <c r="H15" s="185"/>
      <c r="I15" s="185"/>
      <c r="J15" s="185">
        <f t="shared" si="1"/>
        <v>0</v>
      </c>
      <c r="K15" s="185"/>
      <c r="L15" s="185"/>
      <c r="M15" s="185">
        <v>4500</v>
      </c>
      <c r="N15" s="185">
        <v>0</v>
      </c>
    </row>
    <row r="16" spans="1:14" ht="21.95" customHeight="1" x14ac:dyDescent="0.25">
      <c r="A16" s="192">
        <v>5</v>
      </c>
      <c r="B16" s="193" t="s">
        <v>992</v>
      </c>
      <c r="C16" s="185">
        <f>D16</f>
        <v>3450</v>
      </c>
      <c r="D16" s="185">
        <f t="shared" si="2"/>
        <v>3450</v>
      </c>
      <c r="E16" s="185">
        <v>1900</v>
      </c>
      <c r="F16" s="185">
        <v>960</v>
      </c>
      <c r="G16" s="185"/>
      <c r="H16" s="185">
        <v>0</v>
      </c>
      <c r="I16" s="185">
        <v>350</v>
      </c>
      <c r="J16" s="185">
        <f t="shared" si="1"/>
        <v>210</v>
      </c>
      <c r="K16" s="185">
        <v>145</v>
      </c>
      <c r="L16" s="185">
        <v>65</v>
      </c>
      <c r="M16" s="185">
        <v>0</v>
      </c>
      <c r="N16" s="185">
        <v>30</v>
      </c>
    </row>
    <row r="17" spans="1:14" ht="21.95" customHeight="1" x14ac:dyDescent="0.25">
      <c r="A17" s="192">
        <v>6</v>
      </c>
      <c r="B17" s="193" t="s">
        <v>993</v>
      </c>
      <c r="C17" s="185">
        <f t="shared" si="3"/>
        <v>2690</v>
      </c>
      <c r="D17" s="185">
        <f t="shared" si="2"/>
        <v>2690</v>
      </c>
      <c r="E17" s="185">
        <v>1400</v>
      </c>
      <c r="F17" s="185">
        <v>800</v>
      </c>
      <c r="G17" s="185"/>
      <c r="H17" s="185">
        <v>0</v>
      </c>
      <c r="I17" s="185">
        <v>280</v>
      </c>
      <c r="J17" s="185">
        <f t="shared" si="1"/>
        <v>180</v>
      </c>
      <c r="K17" s="185">
        <v>120</v>
      </c>
      <c r="L17" s="185">
        <v>60</v>
      </c>
      <c r="M17" s="185">
        <v>0</v>
      </c>
      <c r="N17" s="185">
        <v>30</v>
      </c>
    </row>
    <row r="18" spans="1:14" ht="21.95" customHeight="1" x14ac:dyDescent="0.25">
      <c r="A18" s="192">
        <v>7</v>
      </c>
      <c r="B18" s="193" t="s">
        <v>994</v>
      </c>
      <c r="C18" s="185">
        <f t="shared" si="3"/>
        <v>4330</v>
      </c>
      <c r="D18" s="185">
        <f t="shared" si="2"/>
        <v>4330</v>
      </c>
      <c r="E18" s="185">
        <v>2210</v>
      </c>
      <c r="F18" s="185">
        <v>1370</v>
      </c>
      <c r="G18" s="185"/>
      <c r="H18" s="185">
        <v>0</v>
      </c>
      <c r="I18" s="185">
        <v>490</v>
      </c>
      <c r="J18" s="185">
        <f t="shared" si="1"/>
        <v>220</v>
      </c>
      <c r="K18" s="185">
        <v>130</v>
      </c>
      <c r="L18" s="185">
        <v>90</v>
      </c>
      <c r="M18" s="185">
        <v>0</v>
      </c>
      <c r="N18" s="185">
        <v>40</v>
      </c>
    </row>
    <row r="19" spans="1:14" ht="21.95" customHeight="1" x14ac:dyDescent="0.25">
      <c r="A19" s="192">
        <v>8</v>
      </c>
      <c r="B19" s="193" t="s">
        <v>995</v>
      </c>
      <c r="C19" s="185">
        <f t="shared" si="3"/>
        <v>1870</v>
      </c>
      <c r="D19" s="185">
        <f t="shared" si="2"/>
        <v>1870</v>
      </c>
      <c r="E19" s="185">
        <v>800</v>
      </c>
      <c r="F19" s="185">
        <v>490</v>
      </c>
      <c r="G19" s="185"/>
      <c r="H19" s="185">
        <v>0</v>
      </c>
      <c r="I19" s="185">
        <v>340</v>
      </c>
      <c r="J19" s="185">
        <f t="shared" si="1"/>
        <v>200</v>
      </c>
      <c r="K19" s="185">
        <v>90</v>
      </c>
      <c r="L19" s="185">
        <v>110</v>
      </c>
      <c r="M19" s="185">
        <v>0</v>
      </c>
      <c r="N19" s="185">
        <v>40</v>
      </c>
    </row>
    <row r="20" spans="1:14" ht="21.95" customHeight="1" x14ac:dyDescent="0.25">
      <c r="A20" s="192">
        <v>9</v>
      </c>
      <c r="B20" s="193" t="s">
        <v>996</v>
      </c>
      <c r="C20" s="185">
        <f t="shared" si="3"/>
        <v>2020</v>
      </c>
      <c r="D20" s="185">
        <f t="shared" si="2"/>
        <v>2020</v>
      </c>
      <c r="E20" s="185">
        <v>940</v>
      </c>
      <c r="F20" s="185">
        <v>530</v>
      </c>
      <c r="G20" s="185"/>
      <c r="H20" s="185">
        <v>0</v>
      </c>
      <c r="I20" s="185">
        <v>360</v>
      </c>
      <c r="J20" s="185">
        <f t="shared" si="1"/>
        <v>140</v>
      </c>
      <c r="K20" s="185">
        <v>90</v>
      </c>
      <c r="L20" s="185">
        <v>50</v>
      </c>
      <c r="M20" s="185">
        <v>0</v>
      </c>
      <c r="N20" s="185">
        <v>50</v>
      </c>
    </row>
    <row r="21" spans="1:14" ht="21.95" customHeight="1" x14ac:dyDescent="0.25">
      <c r="A21" s="192">
        <v>10</v>
      </c>
      <c r="B21" s="193" t="s">
        <v>997</v>
      </c>
      <c r="C21" s="185">
        <f t="shared" si="3"/>
        <v>1910</v>
      </c>
      <c r="D21" s="185">
        <f t="shared" si="2"/>
        <v>1910</v>
      </c>
      <c r="E21" s="185">
        <v>990</v>
      </c>
      <c r="F21" s="185">
        <v>490</v>
      </c>
      <c r="G21" s="185"/>
      <c r="H21" s="185">
        <v>0</v>
      </c>
      <c r="I21" s="185">
        <v>260</v>
      </c>
      <c r="J21" s="185">
        <f t="shared" si="1"/>
        <v>130</v>
      </c>
      <c r="K21" s="185">
        <v>80</v>
      </c>
      <c r="L21" s="185">
        <v>50</v>
      </c>
      <c r="M21" s="185">
        <v>0</v>
      </c>
      <c r="N21" s="185">
        <v>40</v>
      </c>
    </row>
    <row r="22" spans="1:14" ht="21.95" customHeight="1" x14ac:dyDescent="0.25">
      <c r="A22" s="192">
        <v>11</v>
      </c>
      <c r="B22" s="193" t="s">
        <v>998</v>
      </c>
      <c r="C22" s="185">
        <f t="shared" si="3"/>
        <v>360</v>
      </c>
      <c r="D22" s="185">
        <f t="shared" si="2"/>
        <v>360</v>
      </c>
      <c r="E22" s="185">
        <v>90</v>
      </c>
      <c r="F22" s="185">
        <v>90</v>
      </c>
      <c r="G22" s="185"/>
      <c r="H22" s="185">
        <v>0</v>
      </c>
      <c r="I22" s="185">
        <v>100</v>
      </c>
      <c r="J22" s="185">
        <f t="shared" si="1"/>
        <v>50</v>
      </c>
      <c r="K22" s="185">
        <v>15</v>
      </c>
      <c r="L22" s="185">
        <v>35</v>
      </c>
      <c r="M22" s="185">
        <v>0</v>
      </c>
      <c r="N22" s="185">
        <v>30</v>
      </c>
    </row>
    <row r="23" spans="1:14" ht="21.95" customHeight="1" x14ac:dyDescent="0.25">
      <c r="A23" s="192">
        <v>12</v>
      </c>
      <c r="B23" s="193" t="s">
        <v>999</v>
      </c>
      <c r="C23" s="185">
        <f t="shared" si="3"/>
        <v>720</v>
      </c>
      <c r="D23" s="185">
        <f t="shared" si="2"/>
        <v>720</v>
      </c>
      <c r="E23" s="185">
        <v>220</v>
      </c>
      <c r="F23" s="185">
        <v>160</v>
      </c>
      <c r="G23" s="185"/>
      <c r="H23" s="185">
        <v>0</v>
      </c>
      <c r="I23" s="185">
        <v>250</v>
      </c>
      <c r="J23" s="185">
        <f t="shared" si="1"/>
        <v>60</v>
      </c>
      <c r="K23" s="185">
        <v>25</v>
      </c>
      <c r="L23" s="185">
        <v>35</v>
      </c>
      <c r="M23" s="185">
        <v>0</v>
      </c>
      <c r="N23" s="185">
        <v>30</v>
      </c>
    </row>
    <row r="24" spans="1:14" ht="21.95" customHeight="1" x14ac:dyDescent="0.25">
      <c r="A24" s="192">
        <v>13</v>
      </c>
      <c r="B24" s="193" t="s">
        <v>1000</v>
      </c>
      <c r="C24" s="185">
        <f t="shared" si="3"/>
        <v>1290</v>
      </c>
      <c r="D24" s="185">
        <f t="shared" si="2"/>
        <v>1290</v>
      </c>
      <c r="E24" s="185">
        <v>760</v>
      </c>
      <c r="F24" s="185">
        <v>320</v>
      </c>
      <c r="G24" s="185"/>
      <c r="H24" s="185">
        <v>0</v>
      </c>
      <c r="I24" s="185">
        <v>100</v>
      </c>
      <c r="J24" s="185">
        <f t="shared" si="1"/>
        <v>90</v>
      </c>
      <c r="K24" s="185">
        <v>55</v>
      </c>
      <c r="L24" s="185">
        <v>35</v>
      </c>
      <c r="M24" s="185">
        <v>0</v>
      </c>
      <c r="N24" s="185">
        <v>20</v>
      </c>
    </row>
    <row r="25" spans="1:14" ht="21.95" customHeight="1" x14ac:dyDescent="0.25">
      <c r="A25" s="192">
        <v>14</v>
      </c>
      <c r="B25" s="193" t="s">
        <v>1145</v>
      </c>
      <c r="C25" s="185">
        <f t="shared" si="3"/>
        <v>990</v>
      </c>
      <c r="D25" s="185">
        <f t="shared" si="2"/>
        <v>990</v>
      </c>
      <c r="E25" s="185">
        <v>420</v>
      </c>
      <c r="F25" s="185">
        <v>200</v>
      </c>
      <c r="G25" s="185"/>
      <c r="H25" s="185">
        <v>0</v>
      </c>
      <c r="I25" s="185">
        <v>250</v>
      </c>
      <c r="J25" s="185">
        <f t="shared" si="1"/>
        <v>90</v>
      </c>
      <c r="K25" s="185">
        <v>25</v>
      </c>
      <c r="L25" s="185">
        <v>65</v>
      </c>
      <c r="M25" s="185">
        <v>0</v>
      </c>
      <c r="N25" s="185">
        <v>30</v>
      </c>
    </row>
    <row r="26" spans="1:14" ht="21.95" customHeight="1" x14ac:dyDescent="0.25">
      <c r="A26" s="192">
        <v>15</v>
      </c>
      <c r="B26" s="193" t="s">
        <v>1001</v>
      </c>
      <c r="C26" s="185">
        <f t="shared" si="3"/>
        <v>780</v>
      </c>
      <c r="D26" s="185">
        <f t="shared" si="2"/>
        <v>780</v>
      </c>
      <c r="E26" s="185">
        <v>370</v>
      </c>
      <c r="F26" s="185">
        <v>180</v>
      </c>
      <c r="G26" s="185"/>
      <c r="H26" s="185">
        <v>0</v>
      </c>
      <c r="I26" s="185">
        <v>120</v>
      </c>
      <c r="J26" s="185">
        <f t="shared" si="1"/>
        <v>60</v>
      </c>
      <c r="K26" s="185">
        <v>35</v>
      </c>
      <c r="L26" s="185">
        <v>25</v>
      </c>
      <c r="M26" s="185">
        <v>0</v>
      </c>
      <c r="N26" s="185">
        <v>50</v>
      </c>
    </row>
    <row r="27" spans="1:14" ht="21.95" customHeight="1" x14ac:dyDescent="0.25">
      <c r="A27" s="192">
        <v>16</v>
      </c>
      <c r="B27" s="193" t="s">
        <v>1002</v>
      </c>
      <c r="C27" s="185">
        <f t="shared" si="3"/>
        <v>1590</v>
      </c>
      <c r="D27" s="185">
        <f t="shared" si="2"/>
        <v>1590</v>
      </c>
      <c r="E27" s="185">
        <v>790</v>
      </c>
      <c r="F27" s="185">
        <v>460</v>
      </c>
      <c r="G27" s="185"/>
      <c r="H27" s="185">
        <v>0</v>
      </c>
      <c r="I27" s="185">
        <v>220</v>
      </c>
      <c r="J27" s="185">
        <f t="shared" si="1"/>
        <v>90</v>
      </c>
      <c r="K27" s="185">
        <v>70</v>
      </c>
      <c r="L27" s="185">
        <v>20</v>
      </c>
      <c r="M27" s="185">
        <v>0</v>
      </c>
      <c r="N27" s="185">
        <v>30</v>
      </c>
    </row>
    <row r="28" spans="1:14" ht="21.95" customHeight="1" x14ac:dyDescent="0.25">
      <c r="A28" s="192">
        <v>17</v>
      </c>
      <c r="B28" s="193" t="s">
        <v>1003</v>
      </c>
      <c r="C28" s="185">
        <f t="shared" si="3"/>
        <v>1510</v>
      </c>
      <c r="D28" s="185">
        <f>SUM(E28:I28)+J28+M28+N28</f>
        <v>1510</v>
      </c>
      <c r="E28" s="185">
        <v>630</v>
      </c>
      <c r="F28" s="185">
        <v>340</v>
      </c>
      <c r="G28" s="185"/>
      <c r="H28" s="185">
        <v>0</v>
      </c>
      <c r="I28" s="185">
        <v>350</v>
      </c>
      <c r="J28" s="185">
        <f t="shared" si="1"/>
        <v>140</v>
      </c>
      <c r="K28" s="185">
        <v>70</v>
      </c>
      <c r="L28" s="185">
        <v>70</v>
      </c>
      <c r="M28" s="185">
        <v>0</v>
      </c>
      <c r="N28" s="185">
        <v>50</v>
      </c>
    </row>
    <row r="29" spans="1:14" ht="21.95" customHeight="1" x14ac:dyDescent="0.25">
      <c r="A29" s="192">
        <v>18</v>
      </c>
      <c r="B29" s="193" t="s">
        <v>1004</v>
      </c>
      <c r="C29" s="185">
        <f t="shared" si="3"/>
        <v>1450</v>
      </c>
      <c r="D29" s="185">
        <f>SUM(E29:I29)+J29+M29+N29</f>
        <v>1450</v>
      </c>
      <c r="E29" s="185">
        <v>580</v>
      </c>
      <c r="F29" s="185">
        <v>310</v>
      </c>
      <c r="G29" s="185"/>
      <c r="H29" s="185">
        <v>0</v>
      </c>
      <c r="I29" s="185">
        <v>360</v>
      </c>
      <c r="J29" s="185">
        <f t="shared" si="1"/>
        <v>150</v>
      </c>
      <c r="K29" s="185">
        <v>60</v>
      </c>
      <c r="L29" s="185">
        <v>90</v>
      </c>
      <c r="M29" s="185">
        <v>0</v>
      </c>
      <c r="N29" s="185">
        <v>50</v>
      </c>
    </row>
    <row r="30" spans="1:14" ht="21.95" customHeight="1" x14ac:dyDescent="0.25">
      <c r="A30" s="192">
        <v>19</v>
      </c>
      <c r="B30" s="193" t="s">
        <v>1005</v>
      </c>
      <c r="C30" s="185">
        <f t="shared" si="3"/>
        <v>400</v>
      </c>
      <c r="D30" s="185">
        <f>SUM(E30:I30)+J30+M30+N30</f>
        <v>400</v>
      </c>
      <c r="E30" s="185">
        <v>50</v>
      </c>
      <c r="F30" s="185">
        <v>40</v>
      </c>
      <c r="G30" s="185"/>
      <c r="H30" s="185">
        <v>0</v>
      </c>
      <c r="I30" s="185">
        <v>250</v>
      </c>
      <c r="J30" s="185">
        <f t="shared" si="1"/>
        <v>40</v>
      </c>
      <c r="K30" s="185">
        <v>10</v>
      </c>
      <c r="L30" s="185">
        <v>30</v>
      </c>
      <c r="M30" s="185">
        <v>0</v>
      </c>
      <c r="N30" s="185">
        <v>20</v>
      </c>
    </row>
    <row r="31" spans="1:14" ht="4.5" customHeight="1" x14ac:dyDescent="0.25">
      <c r="A31" s="194"/>
      <c r="B31" s="183"/>
      <c r="C31" s="186"/>
      <c r="D31" s="186"/>
      <c r="E31" s="186"/>
      <c r="F31" s="186"/>
      <c r="G31" s="186"/>
      <c r="H31" s="186"/>
      <c r="I31" s="186"/>
      <c r="J31" s="186"/>
      <c r="K31" s="186"/>
      <c r="L31" s="186"/>
      <c r="M31" s="186"/>
      <c r="N31" s="186"/>
    </row>
    <row r="32" spans="1:14" ht="19.5" customHeight="1" x14ac:dyDescent="0.25">
      <c r="A32" s="27" t="s">
        <v>582</v>
      </c>
    </row>
    <row r="33" spans="1:1" x14ac:dyDescent="0.25">
      <c r="A33" s="33" t="s">
        <v>655</v>
      </c>
    </row>
    <row r="34" spans="1:1" x14ac:dyDescent="0.25">
      <c r="A34" s="33" t="s">
        <v>538</v>
      </c>
    </row>
    <row r="35" spans="1:1" x14ac:dyDescent="0.25">
      <c r="A35" s="33" t="s">
        <v>539</v>
      </c>
    </row>
  </sheetData>
  <mergeCells count="18">
    <mergeCell ref="L1:N1"/>
    <mergeCell ref="L6:N6"/>
    <mergeCell ref="A2:N2"/>
    <mergeCell ref="D7:D9"/>
    <mergeCell ref="C7:C9"/>
    <mergeCell ref="A7:A9"/>
    <mergeCell ref="M8:M9"/>
    <mergeCell ref="E8:E9"/>
    <mergeCell ref="A4:N4"/>
    <mergeCell ref="A3:N3"/>
    <mergeCell ref="A5:N5"/>
    <mergeCell ref="B7:B9"/>
    <mergeCell ref="N8:N9"/>
    <mergeCell ref="H8:I8"/>
    <mergeCell ref="E7:N7"/>
    <mergeCell ref="J8:L8"/>
    <mergeCell ref="G8:G9"/>
    <mergeCell ref="F8:F9"/>
  </mergeCells>
  <printOptions horizontalCentered="1"/>
  <pageMargins left="0.24" right="0.118110236220472" top="0.15748031496063" bottom="0.36" header="0.22" footer="0.2"/>
  <pageSetup paperSize="9" scale="85" orientation="landscape" verticalDpi="0" r:id="rId1"/>
  <headerFooter>
    <oddFooter>&amp;F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0000"/>
  </sheetPr>
  <dimension ref="A1:R45"/>
  <sheetViews>
    <sheetView workbookViewId="0">
      <selection activeCell="C9" sqref="C9"/>
    </sheetView>
  </sheetViews>
  <sheetFormatPr defaultRowHeight="15" x14ac:dyDescent="0.25"/>
  <cols>
    <col min="1" max="1" width="6.28515625" customWidth="1"/>
    <col min="2" max="2" width="58.5703125" customWidth="1"/>
    <col min="3" max="3" width="16" customWidth="1"/>
    <col min="4" max="4" width="14.28515625" customWidth="1"/>
    <col min="5" max="5" width="15.28515625" customWidth="1"/>
    <col min="7" max="7" width="9.5703125" bestFit="1" customWidth="1"/>
  </cols>
  <sheetData>
    <row r="1" spans="1:18" ht="15.75" x14ac:dyDescent="0.25">
      <c r="A1" s="152"/>
      <c r="B1" s="152"/>
      <c r="C1" s="152"/>
      <c r="D1" s="551" t="s">
        <v>373</v>
      </c>
      <c r="E1" s="551"/>
    </row>
    <row r="2" spans="1:18" ht="41.25" customHeight="1" x14ac:dyDescent="0.25">
      <c r="A2" s="594" t="s">
        <v>1356</v>
      </c>
      <c r="B2" s="594"/>
      <c r="C2" s="594"/>
      <c r="D2" s="594"/>
      <c r="E2" s="594"/>
    </row>
    <row r="3" spans="1:18" ht="16.5" customHeight="1" x14ac:dyDescent="0.25">
      <c r="A3" s="587" t="s">
        <v>1560</v>
      </c>
      <c r="B3" s="587"/>
      <c r="C3" s="587"/>
      <c r="D3" s="587"/>
      <c r="E3" s="587"/>
      <c r="F3" s="173"/>
      <c r="G3" s="173"/>
      <c r="H3" s="173"/>
      <c r="I3" s="173"/>
      <c r="J3" s="173"/>
      <c r="K3" s="173"/>
      <c r="L3" s="173"/>
      <c r="M3" s="173"/>
      <c r="N3" s="173"/>
    </row>
    <row r="4" spans="1:18" ht="16.5" hidden="1" x14ac:dyDescent="0.25">
      <c r="A4" s="587" t="s">
        <v>1341</v>
      </c>
      <c r="B4" s="587"/>
      <c r="C4" s="587"/>
      <c r="D4" s="587"/>
      <c r="E4" s="587"/>
    </row>
    <row r="5" spans="1:18" ht="15.75" hidden="1" customHeight="1" x14ac:dyDescent="0.25">
      <c r="A5" s="587" t="s">
        <v>1341</v>
      </c>
      <c r="B5" s="587"/>
      <c r="C5" s="587"/>
      <c r="D5" s="587"/>
      <c r="E5" s="587"/>
      <c r="F5" s="173"/>
      <c r="G5" s="173"/>
      <c r="H5" s="173"/>
      <c r="I5" s="173"/>
      <c r="J5" s="173"/>
      <c r="K5" s="173"/>
      <c r="L5" s="173"/>
      <c r="M5" s="173"/>
      <c r="N5" s="173"/>
      <c r="O5" s="173"/>
      <c r="P5" s="173"/>
      <c r="Q5" s="173"/>
      <c r="R5" s="173"/>
    </row>
    <row r="6" spans="1:18" ht="15.75" x14ac:dyDescent="0.25">
      <c r="A6" s="183"/>
      <c r="B6" s="183"/>
      <c r="C6" s="183"/>
      <c r="D6" s="183"/>
      <c r="E6" s="26" t="s">
        <v>56</v>
      </c>
    </row>
    <row r="7" spans="1:18" ht="15.75" x14ac:dyDescent="0.25">
      <c r="A7" s="595" t="s">
        <v>3</v>
      </c>
      <c r="B7" s="595" t="s">
        <v>4</v>
      </c>
      <c r="C7" s="595" t="s">
        <v>542</v>
      </c>
      <c r="D7" s="595" t="s">
        <v>523</v>
      </c>
      <c r="E7" s="595"/>
    </row>
    <row r="8" spans="1:18" ht="57" customHeight="1" x14ac:dyDescent="0.25">
      <c r="A8" s="595"/>
      <c r="B8" s="595"/>
      <c r="C8" s="595"/>
      <c r="D8" s="29" t="s">
        <v>1023</v>
      </c>
      <c r="E8" s="29" t="s">
        <v>1024</v>
      </c>
    </row>
    <row r="9" spans="1:18" ht="15.75" x14ac:dyDescent="0.25">
      <c r="A9" s="29" t="s">
        <v>15</v>
      </c>
      <c r="B9" s="29" t="s">
        <v>16</v>
      </c>
      <c r="C9" s="29" t="s">
        <v>543</v>
      </c>
      <c r="D9" s="29">
        <v>2</v>
      </c>
      <c r="E9" s="29">
        <v>3</v>
      </c>
      <c r="H9" s="67" t="e">
        <f>C10-659172</f>
        <v>#REF!</v>
      </c>
    </row>
    <row r="10" spans="1:18" ht="15.75" x14ac:dyDescent="0.25">
      <c r="A10" s="29"/>
      <c r="B10" s="30" t="s">
        <v>90</v>
      </c>
      <c r="C10" s="66" t="e">
        <f>C11+C34+C42</f>
        <v>#REF!</v>
      </c>
      <c r="D10" s="66" t="e">
        <f>D11+D34+D42</f>
        <v>#REF!</v>
      </c>
      <c r="E10" s="66">
        <f>E11+E34+E42</f>
        <v>131492.13594459998</v>
      </c>
      <c r="G10" s="67" t="e">
        <f>C10-669466</f>
        <v>#REF!</v>
      </c>
    </row>
    <row r="11" spans="1:18" ht="15.75" x14ac:dyDescent="0.25">
      <c r="A11" s="29" t="s">
        <v>15</v>
      </c>
      <c r="B11" s="30" t="s">
        <v>416</v>
      </c>
      <c r="C11" s="66">
        <f>C12+C25+C29+C30+C32+C33+C31</f>
        <v>710925.64193646784</v>
      </c>
      <c r="D11" s="66">
        <f>D12+D25+D29+D30+D32+D33+D31</f>
        <v>579433.50599186786</v>
      </c>
      <c r="E11" s="66">
        <f>E12+E25+E29+E30+E32+E33</f>
        <v>131492.13594459998</v>
      </c>
    </row>
    <row r="12" spans="1:18" ht="15.75" x14ac:dyDescent="0.25">
      <c r="A12" s="29" t="s">
        <v>83</v>
      </c>
      <c r="B12" s="30" t="s">
        <v>658</v>
      </c>
      <c r="C12" s="66">
        <f>C13+C23+C24</f>
        <v>0</v>
      </c>
      <c r="D12" s="66">
        <f>D13+D23+D24</f>
        <v>0</v>
      </c>
      <c r="E12" s="66"/>
    </row>
    <row r="13" spans="1:18" ht="15.75" x14ac:dyDescent="0.25">
      <c r="A13" s="28">
        <v>1</v>
      </c>
      <c r="B13" s="31" t="s">
        <v>417</v>
      </c>
      <c r="C13" s="65">
        <f>D13+E13</f>
        <v>0</v>
      </c>
      <c r="D13" s="65">
        <f>'TONG HOP SO 30'!C30</f>
        <v>0</v>
      </c>
      <c r="E13" s="65">
        <v>0</v>
      </c>
    </row>
    <row r="14" spans="1:18" ht="15.75" x14ac:dyDescent="0.25">
      <c r="A14" s="28"/>
      <c r="B14" s="32" t="s">
        <v>418</v>
      </c>
      <c r="C14" s="65"/>
      <c r="D14" s="65"/>
      <c r="E14" s="65"/>
    </row>
    <row r="15" spans="1:18" ht="15.75" x14ac:dyDescent="0.25">
      <c r="A15" s="28" t="s">
        <v>22</v>
      </c>
      <c r="B15" s="32" t="s">
        <v>419</v>
      </c>
      <c r="C15" s="65"/>
      <c r="D15" s="65"/>
      <c r="E15" s="65"/>
    </row>
    <row r="16" spans="1:18" ht="15.75" x14ac:dyDescent="0.25">
      <c r="A16" s="28" t="s">
        <v>22</v>
      </c>
      <c r="B16" s="32" t="s">
        <v>1146</v>
      </c>
      <c r="C16" s="65"/>
      <c r="D16" s="65"/>
      <c r="E16" s="65"/>
    </row>
    <row r="17" spans="1:7" ht="15.75" x14ac:dyDescent="0.25">
      <c r="A17" s="28" t="s">
        <v>22</v>
      </c>
      <c r="B17" s="32" t="s">
        <v>1147</v>
      </c>
      <c r="C17" s="65"/>
      <c r="D17" s="65"/>
      <c r="E17" s="65"/>
    </row>
    <row r="18" spans="1:7" ht="15.75" x14ac:dyDescent="0.25">
      <c r="A18" s="28" t="s">
        <v>22</v>
      </c>
      <c r="B18" s="32" t="s">
        <v>1148</v>
      </c>
      <c r="C18" s="65"/>
      <c r="D18" s="65"/>
      <c r="E18" s="65"/>
    </row>
    <row r="19" spans="1:7" ht="15.75" x14ac:dyDescent="0.25">
      <c r="A19" s="28" t="s">
        <v>22</v>
      </c>
      <c r="B19" s="32" t="s">
        <v>1149</v>
      </c>
      <c r="C19" s="65"/>
      <c r="D19" s="65"/>
      <c r="E19" s="65"/>
    </row>
    <row r="20" spans="1:7" ht="15.75" x14ac:dyDescent="0.25">
      <c r="A20" s="28"/>
      <c r="B20" s="32" t="s">
        <v>421</v>
      </c>
      <c r="C20" s="65"/>
      <c r="D20" s="65"/>
      <c r="E20" s="65"/>
    </row>
    <row r="21" spans="1:7" ht="15.75" x14ac:dyDescent="0.25">
      <c r="A21" s="28" t="s">
        <v>22</v>
      </c>
      <c r="B21" s="32" t="s">
        <v>422</v>
      </c>
      <c r="C21" s="65"/>
      <c r="D21" s="65"/>
      <c r="E21" s="65"/>
    </row>
    <row r="22" spans="1:7" ht="15.75" x14ac:dyDescent="0.25">
      <c r="A22" s="28" t="s">
        <v>22</v>
      </c>
      <c r="B22" s="32" t="s">
        <v>548</v>
      </c>
      <c r="C22" s="65"/>
      <c r="D22" s="65"/>
      <c r="E22" s="65"/>
    </row>
    <row r="23" spans="1:7" ht="63" x14ac:dyDescent="0.25">
      <c r="A23" s="28">
        <v>2</v>
      </c>
      <c r="B23" s="31" t="s">
        <v>424</v>
      </c>
      <c r="C23" s="65"/>
      <c r="D23" s="65"/>
      <c r="E23" s="65"/>
    </row>
    <row r="24" spans="1:7" ht="15.75" x14ac:dyDescent="0.25">
      <c r="A24" s="28">
        <v>3</v>
      </c>
      <c r="B24" s="31" t="s">
        <v>1344</v>
      </c>
      <c r="C24" s="65">
        <f>D24+E24</f>
        <v>0</v>
      </c>
      <c r="D24" s="65"/>
      <c r="E24" s="65"/>
    </row>
    <row r="25" spans="1:7" ht="15.75" x14ac:dyDescent="0.25">
      <c r="A25" s="29" t="s">
        <v>70</v>
      </c>
      <c r="B25" s="30" t="s">
        <v>96</v>
      </c>
      <c r="C25" s="66">
        <f>D25+E25</f>
        <v>688618.7646553599</v>
      </c>
      <c r="D25" s="66">
        <f>'TONG HOP SO 30'!C37</f>
        <v>557382.62871075992</v>
      </c>
      <c r="E25" s="66">
        <f>'DT CHI NS XA 41'!C11</f>
        <v>131236.13594459998</v>
      </c>
    </row>
    <row r="26" spans="1:7" ht="15.75" x14ac:dyDescent="0.25">
      <c r="A26" s="28"/>
      <c r="B26" s="32" t="s">
        <v>134</v>
      </c>
      <c r="C26" s="65">
        <f>D26+E26</f>
        <v>0</v>
      </c>
      <c r="D26" s="65"/>
      <c r="E26" s="65"/>
    </row>
    <row r="27" spans="1:7" ht="15.75" x14ac:dyDescent="0.25">
      <c r="A27" s="28">
        <v>1</v>
      </c>
      <c r="B27" s="32" t="s">
        <v>419</v>
      </c>
      <c r="C27" s="65">
        <f>D27+E27</f>
        <v>429100.17350255995</v>
      </c>
      <c r="D27" s="65">
        <f>'TONG HOP SO 30'!C42+'TONG HOP SO 30'!C43</f>
        <v>429100.17350255995</v>
      </c>
      <c r="E27" s="65"/>
    </row>
    <row r="28" spans="1:7" ht="15.75" x14ac:dyDescent="0.25">
      <c r="A28" s="28">
        <v>2</v>
      </c>
      <c r="B28" s="32" t="s">
        <v>475</v>
      </c>
      <c r="C28" s="65">
        <f>D28+E28</f>
        <v>560</v>
      </c>
      <c r="D28" s="65">
        <f>'TONG HOP SO 30'!C40</f>
        <v>560</v>
      </c>
      <c r="E28" s="65"/>
    </row>
    <row r="29" spans="1:7" ht="15.75" x14ac:dyDescent="0.25">
      <c r="A29" s="29" t="s">
        <v>73</v>
      </c>
      <c r="B29" s="30" t="s">
        <v>438</v>
      </c>
      <c r="C29" s="65"/>
      <c r="D29" s="65"/>
      <c r="E29" s="65"/>
    </row>
    <row r="30" spans="1:7" ht="15.75" x14ac:dyDescent="0.25">
      <c r="A30" s="29" t="s">
        <v>77</v>
      </c>
      <c r="B30" s="30" t="s">
        <v>439</v>
      </c>
      <c r="C30" s="65"/>
      <c r="D30" s="65"/>
      <c r="E30" s="65"/>
    </row>
    <row r="31" spans="1:7" s="100" customFormat="1" ht="15.75" x14ac:dyDescent="0.25">
      <c r="A31" s="29" t="s">
        <v>113</v>
      </c>
      <c r="B31" s="30" t="s">
        <v>1202</v>
      </c>
      <c r="C31" s="66">
        <f>D31</f>
        <v>6679</v>
      </c>
      <c r="D31" s="66">
        <f>'TONG HOP SO 30'!C84</f>
        <v>6679</v>
      </c>
      <c r="E31" s="66"/>
    </row>
    <row r="32" spans="1:7" ht="15.75" x14ac:dyDescent="0.25">
      <c r="A32" s="29" t="s">
        <v>426</v>
      </c>
      <c r="B32" s="30" t="s">
        <v>247</v>
      </c>
      <c r="C32" s="66">
        <f>D32+E32</f>
        <v>15062.277281107999</v>
      </c>
      <c r="D32" s="66">
        <f>'TONG HOP SO 30'!C85</f>
        <v>14806.277281107999</v>
      </c>
      <c r="E32" s="66">
        <f>'DT CHI NS XA 41'!C39</f>
        <v>256</v>
      </c>
      <c r="G32">
        <v>12249</v>
      </c>
    </row>
    <row r="33" spans="1:8" ht="15.75" x14ac:dyDescent="0.25">
      <c r="A33" s="29" t="s">
        <v>674</v>
      </c>
      <c r="B33" s="30" t="s">
        <v>98</v>
      </c>
      <c r="C33" s="66">
        <f>D33+E33</f>
        <v>565.60000000000014</v>
      </c>
      <c r="D33" s="66">
        <f>'TONG HOP SO 30'!C83</f>
        <v>565.60000000000014</v>
      </c>
      <c r="E33" s="66"/>
    </row>
    <row r="34" spans="1:8" ht="15.75" x14ac:dyDescent="0.25">
      <c r="A34" s="29" t="s">
        <v>16</v>
      </c>
      <c r="B34" s="30" t="s">
        <v>428</v>
      </c>
      <c r="C34" s="66" t="e">
        <f>C35+C39</f>
        <v>#REF!</v>
      </c>
      <c r="D34" s="66" t="e">
        <f>D35+D39</f>
        <v>#REF!</v>
      </c>
      <c r="E34" s="66">
        <f>E35+E39</f>
        <v>0</v>
      </c>
    </row>
    <row r="35" spans="1:8" ht="15.75" x14ac:dyDescent="0.25">
      <c r="A35" s="29" t="s">
        <v>83</v>
      </c>
      <c r="B35" s="30" t="s">
        <v>249</v>
      </c>
      <c r="C35" s="66">
        <f>C36</f>
        <v>0</v>
      </c>
      <c r="D35" s="66">
        <f>D36</f>
        <v>0</v>
      </c>
      <c r="E35" s="66"/>
    </row>
    <row r="36" spans="1:8" ht="15.75" x14ac:dyDescent="0.25">
      <c r="A36" s="28"/>
      <c r="B36" s="31" t="s">
        <v>1289</v>
      </c>
      <c r="C36" s="65">
        <f>SUM(C37:C38)</f>
        <v>0</v>
      </c>
      <c r="D36" s="65">
        <f>SUM(D37:D38)</f>
        <v>0</v>
      </c>
      <c r="E36" s="65"/>
    </row>
    <row r="37" spans="1:8" ht="15.75" x14ac:dyDescent="0.25">
      <c r="A37" s="28"/>
      <c r="B37" s="31" t="s">
        <v>1290</v>
      </c>
      <c r="C37" s="65">
        <f t="shared" ref="C37:C42" si="0">D37+E37</f>
        <v>0</v>
      </c>
      <c r="D37" s="65"/>
      <c r="E37" s="65"/>
    </row>
    <row r="38" spans="1:8" ht="15.75" x14ac:dyDescent="0.25">
      <c r="A38" s="28"/>
      <c r="B38" s="31" t="s">
        <v>1291</v>
      </c>
      <c r="C38" s="65">
        <f t="shared" si="0"/>
        <v>0</v>
      </c>
      <c r="D38" s="65"/>
      <c r="E38" s="65"/>
    </row>
    <row r="39" spans="1:8" ht="15.75" x14ac:dyDescent="0.25">
      <c r="A39" s="29" t="s">
        <v>70</v>
      </c>
      <c r="B39" s="30" t="s">
        <v>660</v>
      </c>
      <c r="C39" s="66" t="e">
        <f>C41+C40</f>
        <v>#REF!</v>
      </c>
      <c r="D39" s="66" t="e">
        <f>D40+D41</f>
        <v>#REF!</v>
      </c>
      <c r="E39" s="66">
        <f>E41+E40</f>
        <v>0</v>
      </c>
      <c r="H39" s="67"/>
    </row>
    <row r="40" spans="1:8" ht="15.75" x14ac:dyDescent="0.25">
      <c r="A40" s="28"/>
      <c r="B40" s="31" t="s">
        <v>1025</v>
      </c>
      <c r="C40" s="65">
        <f t="shared" si="0"/>
        <v>153822.745</v>
      </c>
      <c r="D40" s="65">
        <f>'TONG HOP SO 30'!C55</f>
        <v>153822.745</v>
      </c>
      <c r="E40" s="65"/>
    </row>
    <row r="41" spans="1:8" ht="15.75" x14ac:dyDescent="0.25">
      <c r="A41" s="28"/>
      <c r="B41" s="31" t="s">
        <v>1368</v>
      </c>
      <c r="C41" s="65" t="e">
        <f t="shared" si="0"/>
        <v>#REF!</v>
      </c>
      <c r="D41" s="65" t="e">
        <f>'TONG HOP SO 30'!#REF!</f>
        <v>#REF!</v>
      </c>
      <c r="E41" s="65"/>
    </row>
    <row r="42" spans="1:8" ht="15.75" x14ac:dyDescent="0.25">
      <c r="A42" s="29" t="s">
        <v>79</v>
      </c>
      <c r="B42" s="30" t="s">
        <v>476</v>
      </c>
      <c r="C42" s="65">
        <f t="shared" si="0"/>
        <v>0</v>
      </c>
      <c r="D42" s="65"/>
      <c r="E42" s="65"/>
    </row>
    <row r="43" spans="1:8" ht="15.75" x14ac:dyDescent="0.25">
      <c r="A43" s="27" t="s">
        <v>649</v>
      </c>
    </row>
    <row r="44" spans="1:8" ht="72.75" customHeight="1" x14ac:dyDescent="0.25">
      <c r="A44" s="593" t="s">
        <v>119</v>
      </c>
      <c r="B44" s="593"/>
      <c r="C44" s="593"/>
      <c r="D44" s="593"/>
      <c r="E44" s="593"/>
    </row>
    <row r="45" spans="1:8" ht="45" customHeight="1" x14ac:dyDescent="0.25">
      <c r="A45" s="593" t="s">
        <v>567</v>
      </c>
      <c r="B45" s="593"/>
      <c r="C45" s="593"/>
      <c r="D45" s="593"/>
      <c r="E45" s="593"/>
    </row>
  </sheetData>
  <mergeCells count="11">
    <mergeCell ref="A4:E4"/>
    <mergeCell ref="D1:E1"/>
    <mergeCell ref="A2:E2"/>
    <mergeCell ref="A44:E44"/>
    <mergeCell ref="A45:E45"/>
    <mergeCell ref="A7:A8"/>
    <mergeCell ref="B7:B8"/>
    <mergeCell ref="C7:C8"/>
    <mergeCell ref="D7:E7"/>
    <mergeCell ref="A5:E5"/>
    <mergeCell ref="A3:E3"/>
  </mergeCells>
  <printOptions horizontalCentered="1"/>
  <pageMargins left="0.11811023622047245" right="0.11811023622047245" top="0.15748031496062992" bottom="0.15748031496062992" header="0.31496062992125984" footer="0.31496062992125984"/>
  <pageSetup paperSize="9" scale="85"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0000"/>
  </sheetPr>
  <dimension ref="A1:C99"/>
  <sheetViews>
    <sheetView zoomScale="140" zoomScaleNormal="140" workbookViewId="0">
      <selection activeCell="B71" sqref="B71"/>
    </sheetView>
  </sheetViews>
  <sheetFormatPr defaultColWidth="14.5703125" defaultRowHeight="16.5" x14ac:dyDescent="0.25"/>
  <cols>
    <col min="1" max="1" width="5.42578125" style="92" customWidth="1"/>
    <col min="2" max="2" width="75.5703125" style="93" customWidth="1"/>
    <col min="3" max="3" width="16.7109375" style="93" customWidth="1"/>
    <col min="4" max="16384" width="14.5703125" style="93"/>
  </cols>
  <sheetData>
    <row r="1" spans="1:3" x14ac:dyDescent="0.25">
      <c r="A1" s="608" t="s">
        <v>1305</v>
      </c>
      <c r="B1" s="608"/>
      <c r="C1" s="608"/>
    </row>
    <row r="2" spans="1:3" ht="32.25" customHeight="1" x14ac:dyDescent="0.25">
      <c r="A2" s="609" t="s">
        <v>1780</v>
      </c>
      <c r="B2" s="610"/>
      <c r="C2" s="610"/>
    </row>
    <row r="3" spans="1:3" s="94" customFormat="1" ht="16.5" customHeight="1" x14ac:dyDescent="0.25">
      <c r="A3" s="607" t="str">
        <f>'DT THU NSNN MAU 32'!A3:N3</f>
        <v>(Kèm theo Tờ trình số:             /TTr-UBND ngày        /11/2024 của UBND huyện Phụng Hiệp)</v>
      </c>
      <c r="B3" s="607"/>
      <c r="C3" s="607"/>
    </row>
    <row r="4" spans="1:3" s="94" customFormat="1" hidden="1" x14ac:dyDescent="0.25">
      <c r="A4" s="587" t="s">
        <v>1348</v>
      </c>
      <c r="B4" s="587"/>
      <c r="C4" s="587"/>
    </row>
    <row r="5" spans="1:3" s="94" customFormat="1" hidden="1" x14ac:dyDescent="0.25">
      <c r="A5" s="587" t="s">
        <v>1393</v>
      </c>
      <c r="B5" s="587"/>
      <c r="C5" s="587"/>
    </row>
    <row r="6" spans="1:3" x14ac:dyDescent="0.25">
      <c r="B6" s="611" t="s">
        <v>1164</v>
      </c>
      <c r="C6" s="611"/>
    </row>
    <row r="7" spans="1:3" s="94" customFormat="1" ht="11.25" customHeight="1" x14ac:dyDescent="0.25">
      <c r="A7" s="612" t="s">
        <v>1165</v>
      </c>
      <c r="B7" s="613" t="s">
        <v>1166</v>
      </c>
      <c r="C7" s="612" t="s">
        <v>1727</v>
      </c>
    </row>
    <row r="8" spans="1:3" s="94" customFormat="1" ht="10.5" customHeight="1" x14ac:dyDescent="0.25">
      <c r="A8" s="612"/>
      <c r="B8" s="613"/>
      <c r="C8" s="614"/>
    </row>
    <row r="9" spans="1:3" s="94" customFormat="1" ht="9.75" customHeight="1" x14ac:dyDescent="0.25">
      <c r="A9" s="612"/>
      <c r="B9" s="613"/>
      <c r="C9" s="614"/>
    </row>
    <row r="10" spans="1:3" x14ac:dyDescent="0.25">
      <c r="A10" s="420" t="s">
        <v>15</v>
      </c>
      <c r="B10" s="421" t="s">
        <v>1167</v>
      </c>
      <c r="C10" s="422">
        <f>C11+C17+C18+C19</f>
        <v>1002742</v>
      </c>
    </row>
    <row r="11" spans="1:3" x14ac:dyDescent="0.25">
      <c r="A11" s="420">
        <v>1</v>
      </c>
      <c r="B11" s="421" t="s">
        <v>1168</v>
      </c>
      <c r="C11" s="422">
        <f>SUM(C12:C16)</f>
        <v>136900</v>
      </c>
    </row>
    <row r="12" spans="1:3" x14ac:dyDescent="0.25">
      <c r="A12" s="423"/>
      <c r="B12" s="424" t="s">
        <v>1169</v>
      </c>
      <c r="C12" s="425">
        <f>'DT THU NSNN MAU 32'!E11</f>
        <v>52400</v>
      </c>
    </row>
    <row r="13" spans="1:3" x14ac:dyDescent="0.25">
      <c r="A13" s="423"/>
      <c r="B13" s="424" t="s">
        <v>1170</v>
      </c>
      <c r="C13" s="425">
        <f>'DT THU NSNN MAU 32'!F11</f>
        <v>21000</v>
      </c>
    </row>
    <row r="14" spans="1:3" x14ac:dyDescent="0.25">
      <c r="A14" s="423"/>
      <c r="B14" s="424" t="s">
        <v>1171</v>
      </c>
      <c r="C14" s="425">
        <f>'DT THU NSNN MAU 32'!G11</f>
        <v>33500</v>
      </c>
    </row>
    <row r="15" spans="1:3" x14ac:dyDescent="0.25">
      <c r="A15" s="423"/>
      <c r="B15" s="424" t="s">
        <v>1172</v>
      </c>
      <c r="C15" s="425">
        <f>'DT THU NSNN MAU 32'!H11+'DT THU NSNN MAU 32'!I11</f>
        <v>24800</v>
      </c>
    </row>
    <row r="16" spans="1:3" x14ac:dyDescent="0.25">
      <c r="A16" s="423"/>
      <c r="B16" s="424" t="s">
        <v>1173</v>
      </c>
      <c r="C16" s="425">
        <f>'DT THU NSNN MAU 32'!J11</f>
        <v>5200</v>
      </c>
    </row>
    <row r="17" spans="1:3" x14ac:dyDescent="0.25">
      <c r="A17" s="420">
        <v>2</v>
      </c>
      <c r="B17" s="421" t="s">
        <v>399</v>
      </c>
      <c r="C17" s="426">
        <f>'DT THU NSNN MAU 32'!N11</f>
        <v>2700</v>
      </c>
    </row>
    <row r="18" spans="1:3" x14ac:dyDescent="0.25">
      <c r="A18" s="420">
        <v>3</v>
      </c>
      <c r="B18" s="421" t="s">
        <v>1174</v>
      </c>
      <c r="C18" s="426">
        <f>'DT THU NSNN MAU 32'!M11</f>
        <v>4500</v>
      </c>
    </row>
    <row r="19" spans="1:3" x14ac:dyDescent="0.25">
      <c r="A19" s="420">
        <v>4</v>
      </c>
      <c r="B19" s="421" t="s">
        <v>1175</v>
      </c>
      <c r="C19" s="426">
        <f>SUM(C20:C22)</f>
        <v>858642</v>
      </c>
    </row>
    <row r="20" spans="1:3" x14ac:dyDescent="0.25">
      <c r="A20" s="427" t="s">
        <v>22</v>
      </c>
      <c r="B20" s="424" t="s">
        <v>1176</v>
      </c>
      <c r="C20" s="428">
        <f>'DT THU, CHI NSDP VA BSCĐ 39'!M11</f>
        <v>597086</v>
      </c>
    </row>
    <row r="21" spans="1:3" x14ac:dyDescent="0.25">
      <c r="A21" s="423" t="s">
        <v>22</v>
      </c>
      <c r="B21" s="429" t="s">
        <v>1775</v>
      </c>
      <c r="C21" s="428">
        <f>124605+40668</f>
        <v>165273</v>
      </c>
    </row>
    <row r="22" spans="1:3" x14ac:dyDescent="0.25">
      <c r="A22" s="423" t="s">
        <v>22</v>
      </c>
      <c r="B22" s="424" t="s">
        <v>759</v>
      </c>
      <c r="C22" s="430">
        <f>'DT THU, CHI NSDP VA BSCĐ 39'!N11</f>
        <v>96283</v>
      </c>
    </row>
    <row r="23" spans="1:3" x14ac:dyDescent="0.25">
      <c r="A23" s="420" t="s">
        <v>16</v>
      </c>
      <c r="B23" s="421" t="s">
        <v>1177</v>
      </c>
      <c r="C23" s="422">
        <f>C24</f>
        <v>967842</v>
      </c>
    </row>
    <row r="24" spans="1:3" x14ac:dyDescent="0.25">
      <c r="A24" s="423"/>
      <c r="B24" s="421" t="s">
        <v>1178</v>
      </c>
      <c r="C24" s="422">
        <f>SUM(C25:C26)</f>
        <v>967842</v>
      </c>
    </row>
    <row r="25" spans="1:3" x14ac:dyDescent="0.25">
      <c r="A25" s="423"/>
      <c r="B25" s="424" t="s">
        <v>1179</v>
      </c>
      <c r="C25" s="425">
        <f>'DT THU, CHI NSDP VA BSCĐ 39'!C11</f>
        <v>109200</v>
      </c>
    </row>
    <row r="26" spans="1:3" x14ac:dyDescent="0.25">
      <c r="A26" s="423"/>
      <c r="B26" s="424" t="s">
        <v>1180</v>
      </c>
      <c r="C26" s="425">
        <f>C19</f>
        <v>858642</v>
      </c>
    </row>
    <row r="27" spans="1:3" x14ac:dyDescent="0.25">
      <c r="A27" s="420" t="s">
        <v>79</v>
      </c>
      <c r="B27" s="421" t="s">
        <v>1181</v>
      </c>
      <c r="C27" s="422">
        <f>C28+C86</f>
        <v>967842.10965535988</v>
      </c>
    </row>
    <row r="28" spans="1:3" s="94" customFormat="1" x14ac:dyDescent="0.25">
      <c r="A28" s="420" t="s">
        <v>83</v>
      </c>
      <c r="B28" s="421" t="s">
        <v>1182</v>
      </c>
      <c r="C28" s="422">
        <f>(C29+C37+C55+C83+C84+C85)</f>
        <v>833981.25099186786</v>
      </c>
    </row>
    <row r="29" spans="1:3" s="94" customFormat="1" x14ac:dyDescent="0.25">
      <c r="A29" s="420">
        <v>1</v>
      </c>
      <c r="B29" s="421" t="s">
        <v>554</v>
      </c>
      <c r="C29" s="422">
        <f>SUM(C30:C33)+C36</f>
        <v>100725</v>
      </c>
    </row>
    <row r="30" spans="1:3" x14ac:dyDescent="0.25">
      <c r="A30" s="423"/>
      <c r="B30" s="431" t="s">
        <v>1369</v>
      </c>
      <c r="C30" s="425">
        <v>0</v>
      </c>
    </row>
    <row r="31" spans="1:3" x14ac:dyDescent="0.25">
      <c r="A31" s="423"/>
      <c r="B31" s="431" t="s">
        <v>1370</v>
      </c>
      <c r="C31" s="425">
        <v>8900</v>
      </c>
    </row>
    <row r="32" spans="1:3" x14ac:dyDescent="0.25">
      <c r="A32" s="423"/>
      <c r="B32" s="431" t="s">
        <v>1371</v>
      </c>
      <c r="C32" s="428">
        <v>77065</v>
      </c>
    </row>
    <row r="33" spans="1:3" x14ac:dyDescent="0.25">
      <c r="A33" s="423"/>
      <c r="B33" s="432" t="s">
        <v>1183</v>
      </c>
      <c r="C33" s="425">
        <f>C34+C35</f>
        <v>14760</v>
      </c>
    </row>
    <row r="34" spans="1:3" x14ac:dyDescent="0.25">
      <c r="A34" s="423"/>
      <c r="B34" s="433" t="s">
        <v>1184</v>
      </c>
      <c r="C34" s="425">
        <v>0</v>
      </c>
    </row>
    <row r="35" spans="1:3" x14ac:dyDescent="0.25">
      <c r="A35" s="423"/>
      <c r="B35" s="433" t="s">
        <v>1185</v>
      </c>
      <c r="C35" s="425">
        <v>14760</v>
      </c>
    </row>
    <row r="36" spans="1:3" x14ac:dyDescent="0.25">
      <c r="A36" s="423"/>
      <c r="B36" s="432" t="s">
        <v>1378</v>
      </c>
      <c r="C36" s="425">
        <v>0</v>
      </c>
    </row>
    <row r="37" spans="1:3" s="94" customFormat="1" x14ac:dyDescent="0.25">
      <c r="A37" s="420">
        <v>2</v>
      </c>
      <c r="B37" s="421" t="s">
        <v>96</v>
      </c>
      <c r="C37" s="426">
        <f>SUM(C38:C44)+C48+C51+C52+C53+C54</f>
        <v>557382.62871075992</v>
      </c>
    </row>
    <row r="38" spans="1:3" x14ac:dyDescent="0.25">
      <c r="A38" s="423"/>
      <c r="B38" s="424" t="s">
        <v>1186</v>
      </c>
      <c r="C38" s="428">
        <f>'CHI NS HUYEN 35'!F18</f>
        <v>59091</v>
      </c>
    </row>
    <row r="39" spans="1:3" x14ac:dyDescent="0.25">
      <c r="A39" s="423"/>
      <c r="B39" s="424" t="s">
        <v>1379</v>
      </c>
      <c r="C39" s="425">
        <f>'CHI NS HUYEN 35'!F23</f>
        <v>3866.5351420000002</v>
      </c>
    </row>
    <row r="40" spans="1:3" x14ac:dyDescent="0.25">
      <c r="A40" s="423"/>
      <c r="B40" s="424" t="s">
        <v>1187</v>
      </c>
      <c r="C40" s="425">
        <f>'CHI NS HUYEN 35'!F29</f>
        <v>560</v>
      </c>
    </row>
    <row r="41" spans="1:3" x14ac:dyDescent="0.25">
      <c r="A41" s="423"/>
      <c r="B41" s="424" t="s">
        <v>1188</v>
      </c>
      <c r="C41" s="425">
        <f>'CHI NS HUYEN 35'!F30</f>
        <v>8828</v>
      </c>
    </row>
    <row r="42" spans="1:3" x14ac:dyDescent="0.25">
      <c r="A42" s="423"/>
      <c r="B42" s="424" t="s">
        <v>1189</v>
      </c>
      <c r="C42" s="425">
        <f>SNGD!G11-'TONG HOP SO 30'!C56</f>
        <v>420620.86097907997</v>
      </c>
    </row>
    <row r="43" spans="1:3" x14ac:dyDescent="0.25">
      <c r="A43" s="423"/>
      <c r="B43" s="424" t="s">
        <v>1190</v>
      </c>
      <c r="C43" s="425">
        <f>'CHI NS HUYEN 35'!F31</f>
        <v>8479.3125234799991</v>
      </c>
    </row>
    <row r="44" spans="1:3" x14ac:dyDescent="0.25">
      <c r="A44" s="423"/>
      <c r="B44" s="424" t="s">
        <v>1191</v>
      </c>
      <c r="C44" s="425">
        <f>SUM(C45:C47)</f>
        <v>42590.920066199993</v>
      </c>
    </row>
    <row r="45" spans="1:3" x14ac:dyDescent="0.25">
      <c r="A45" s="423"/>
      <c r="B45" s="424" t="s">
        <v>1192</v>
      </c>
      <c r="C45" s="425">
        <f>'CHI NS HUYEN 35'!F36</f>
        <v>21889.649671799998</v>
      </c>
    </row>
    <row r="46" spans="1:3" x14ac:dyDescent="0.25">
      <c r="A46" s="423"/>
      <c r="B46" s="424" t="s">
        <v>1193</v>
      </c>
      <c r="C46" s="425">
        <f>'CHI NS HUYEN 35'!F63</f>
        <v>14533.727765999998</v>
      </c>
    </row>
    <row r="47" spans="1:3" x14ac:dyDescent="0.25">
      <c r="A47" s="423"/>
      <c r="B47" s="424" t="s">
        <v>1194</v>
      </c>
      <c r="C47" s="425">
        <f>'CHI NS HUYEN 35'!F56+'CHI NS HUYEN 35'!F50</f>
        <v>6167.5426283999996</v>
      </c>
    </row>
    <row r="48" spans="1:3" x14ac:dyDescent="0.25">
      <c r="A48" s="423"/>
      <c r="B48" s="424" t="s">
        <v>1195</v>
      </c>
      <c r="C48" s="425">
        <f>SUM(C49:C50)</f>
        <v>4820</v>
      </c>
    </row>
    <row r="49" spans="1:3" x14ac:dyDescent="0.25">
      <c r="A49" s="423"/>
      <c r="B49" s="424" t="s">
        <v>1573</v>
      </c>
      <c r="C49" s="425">
        <f>'CHI NS HUYEN 35'!F74</f>
        <v>4060</v>
      </c>
    </row>
    <row r="50" spans="1:3" x14ac:dyDescent="0.25">
      <c r="A50" s="423"/>
      <c r="B50" s="424" t="s">
        <v>1380</v>
      </c>
      <c r="C50" s="425">
        <f>'CHI NS HUYEN 35'!F75</f>
        <v>760</v>
      </c>
    </row>
    <row r="51" spans="1:3" ht="33" x14ac:dyDescent="0.25">
      <c r="A51" s="423"/>
      <c r="B51" s="432" t="s">
        <v>1766</v>
      </c>
      <c r="C51" s="430">
        <v>1525</v>
      </c>
    </row>
    <row r="52" spans="1:3" x14ac:dyDescent="0.25">
      <c r="A52" s="423"/>
      <c r="B52" s="432" t="s">
        <v>1574</v>
      </c>
      <c r="C52" s="430">
        <f>2500-256</f>
        <v>2244</v>
      </c>
    </row>
    <row r="53" spans="1:3" x14ac:dyDescent="0.25">
      <c r="A53" s="423"/>
      <c r="B53" s="432" t="s">
        <v>1556</v>
      </c>
      <c r="C53" s="428">
        <f>'CHI NS HUYEN 35'!F76</f>
        <v>3234</v>
      </c>
    </row>
    <row r="54" spans="1:3" x14ac:dyDescent="0.25">
      <c r="A54" s="434"/>
      <c r="B54" s="435" t="s">
        <v>1281</v>
      </c>
      <c r="C54" s="430">
        <f>'CHI NS HUYEN 35'!F81</f>
        <v>1523</v>
      </c>
    </row>
    <row r="55" spans="1:3" s="94" customFormat="1" x14ac:dyDescent="0.25">
      <c r="A55" s="420">
        <v>3</v>
      </c>
      <c r="B55" s="436" t="s">
        <v>1367</v>
      </c>
      <c r="C55" s="422">
        <f>C56+C64+C71</f>
        <v>153822.745</v>
      </c>
    </row>
    <row r="56" spans="1:3" s="94" customFormat="1" x14ac:dyDescent="0.25">
      <c r="A56" s="420"/>
      <c r="B56" s="436" t="s">
        <v>1197</v>
      </c>
      <c r="C56" s="422">
        <f>SUM(C57:C63)</f>
        <v>0</v>
      </c>
    </row>
    <row r="57" spans="1:3" s="94" customFormat="1" ht="31.5" x14ac:dyDescent="0.25">
      <c r="A57" s="420"/>
      <c r="B57" s="437" t="s">
        <v>1762</v>
      </c>
      <c r="C57" s="425">
        <v>0</v>
      </c>
    </row>
    <row r="58" spans="1:3" s="94" customFormat="1" x14ac:dyDescent="0.25">
      <c r="A58" s="420"/>
      <c r="B58" s="438" t="s">
        <v>1198</v>
      </c>
      <c r="C58" s="425">
        <v>0</v>
      </c>
    </row>
    <row r="59" spans="1:3" s="94" customFormat="1" x14ac:dyDescent="0.25">
      <c r="A59" s="420"/>
      <c r="B59" s="439" t="s">
        <v>1199</v>
      </c>
      <c r="C59" s="425">
        <v>0</v>
      </c>
    </row>
    <row r="60" spans="1:3" s="94" customFormat="1" x14ac:dyDescent="0.25">
      <c r="A60" s="420"/>
      <c r="B60" s="438" t="s">
        <v>1763</v>
      </c>
      <c r="C60" s="425">
        <v>0</v>
      </c>
    </row>
    <row r="61" spans="1:3" s="94" customFormat="1" x14ac:dyDescent="0.25">
      <c r="A61" s="420"/>
      <c r="B61" s="438" t="s">
        <v>1764</v>
      </c>
      <c r="C61" s="425">
        <v>0</v>
      </c>
    </row>
    <row r="62" spans="1:3" s="94" customFormat="1" x14ac:dyDescent="0.25">
      <c r="A62" s="420"/>
      <c r="B62" s="438" t="s">
        <v>1395</v>
      </c>
      <c r="C62" s="425">
        <v>0</v>
      </c>
    </row>
    <row r="63" spans="1:3" s="94" customFormat="1" x14ac:dyDescent="0.25">
      <c r="A63" s="420"/>
      <c r="B63" s="424" t="s">
        <v>1296</v>
      </c>
      <c r="C63" s="425">
        <v>0</v>
      </c>
    </row>
    <row r="64" spans="1:3" s="94" customFormat="1" x14ac:dyDescent="0.25">
      <c r="A64" s="420"/>
      <c r="B64" s="436" t="s">
        <v>1200</v>
      </c>
      <c r="C64" s="422">
        <f>SUM(C65:C70)</f>
        <v>130621.8</v>
      </c>
    </row>
    <row r="65" spans="1:3" x14ac:dyDescent="0.25">
      <c r="A65" s="423"/>
      <c r="B65" s="440" t="s">
        <v>1333</v>
      </c>
      <c r="C65" s="425">
        <v>3637</v>
      </c>
    </row>
    <row r="66" spans="1:3" s="94" customFormat="1" ht="49.5" x14ac:dyDescent="0.25">
      <c r="A66" s="420"/>
      <c r="B66" s="441" t="s">
        <v>1765</v>
      </c>
      <c r="C66" s="442">
        <f>'CHI NS HUYEN 35'!F28</f>
        <v>115000</v>
      </c>
    </row>
    <row r="67" spans="1:3" s="94" customFormat="1" x14ac:dyDescent="0.25">
      <c r="A67" s="420"/>
      <c r="B67" s="443" t="s">
        <v>1394</v>
      </c>
      <c r="C67" s="442">
        <v>10000</v>
      </c>
    </row>
    <row r="68" spans="1:3" s="94" customFormat="1" x14ac:dyDescent="0.25">
      <c r="A68" s="420"/>
      <c r="B68" s="443" t="s">
        <v>1772</v>
      </c>
      <c r="C68" s="442">
        <v>0</v>
      </c>
    </row>
    <row r="69" spans="1:3" s="94" customFormat="1" x14ac:dyDescent="0.25">
      <c r="A69" s="444"/>
      <c r="B69" s="441" t="s">
        <v>1292</v>
      </c>
      <c r="C69" s="442">
        <v>1400</v>
      </c>
    </row>
    <row r="70" spans="1:3" s="94" customFormat="1" x14ac:dyDescent="0.25">
      <c r="A70" s="444"/>
      <c r="B70" s="443" t="s">
        <v>1784</v>
      </c>
      <c r="C70" s="442">
        <f>1006-'DT CHI NS XA 41'!C40</f>
        <v>584.80000000000018</v>
      </c>
    </row>
    <row r="71" spans="1:3" s="94" customFormat="1" x14ac:dyDescent="0.25">
      <c r="A71" s="420"/>
      <c r="B71" s="445" t="s">
        <v>1282</v>
      </c>
      <c r="C71" s="446">
        <f>SUM(C72:C82)</f>
        <v>23200.945</v>
      </c>
    </row>
    <row r="72" spans="1:3" x14ac:dyDescent="0.25">
      <c r="A72" s="423"/>
      <c r="B72" s="443" t="s">
        <v>1770</v>
      </c>
      <c r="C72" s="442">
        <v>4000</v>
      </c>
    </row>
    <row r="73" spans="1:3" x14ac:dyDescent="0.25">
      <c r="A73" s="423"/>
      <c r="B73" s="443" t="s">
        <v>1771</v>
      </c>
      <c r="C73" s="442">
        <v>2000</v>
      </c>
    </row>
    <row r="74" spans="1:3" ht="33" x14ac:dyDescent="0.25">
      <c r="A74" s="423"/>
      <c r="B74" s="441" t="s">
        <v>1381</v>
      </c>
      <c r="C74" s="442">
        <v>2513</v>
      </c>
    </row>
    <row r="75" spans="1:3" x14ac:dyDescent="0.25">
      <c r="A75" s="423"/>
      <c r="B75" s="441" t="s">
        <v>1294</v>
      </c>
      <c r="C75" s="442">
        <f>2025-'DT CHI NS XA 41'!C37</f>
        <v>-173.67999999999984</v>
      </c>
    </row>
    <row r="76" spans="1:3" x14ac:dyDescent="0.25">
      <c r="A76" s="423"/>
      <c r="B76" s="441" t="s">
        <v>1295</v>
      </c>
      <c r="C76" s="442">
        <v>2598</v>
      </c>
    </row>
    <row r="77" spans="1:3" x14ac:dyDescent="0.25">
      <c r="A77" s="423"/>
      <c r="B77" s="443" t="s">
        <v>1283</v>
      </c>
      <c r="C77" s="447">
        <v>0</v>
      </c>
    </row>
    <row r="78" spans="1:3" x14ac:dyDescent="0.25">
      <c r="A78" s="423"/>
      <c r="B78" s="441" t="s">
        <v>1293</v>
      </c>
      <c r="C78" s="442">
        <v>193</v>
      </c>
    </row>
    <row r="79" spans="1:3" x14ac:dyDescent="0.25">
      <c r="A79" s="423"/>
      <c r="B79" s="443" t="s">
        <v>1779</v>
      </c>
      <c r="C79" s="442">
        <v>160</v>
      </c>
    </row>
    <row r="80" spans="1:3" x14ac:dyDescent="0.25">
      <c r="A80" s="423"/>
      <c r="B80" s="443" t="s">
        <v>1366</v>
      </c>
      <c r="C80" s="442">
        <v>2500</v>
      </c>
    </row>
    <row r="81" spans="1:3" x14ac:dyDescent="0.25">
      <c r="A81" s="423"/>
      <c r="B81" s="443" t="s">
        <v>1554</v>
      </c>
      <c r="C81" s="442">
        <f>(9325-'DT CHI NS XA 41'!C30)</f>
        <v>7545.625</v>
      </c>
    </row>
    <row r="82" spans="1:3" x14ac:dyDescent="0.25">
      <c r="A82" s="423"/>
      <c r="B82" s="443" t="s">
        <v>1555</v>
      </c>
      <c r="C82" s="442">
        <f>(2505-'DT CHI NS XA 41'!C32)</f>
        <v>1865</v>
      </c>
    </row>
    <row r="83" spans="1:3" s="94" customFormat="1" x14ac:dyDescent="0.25">
      <c r="A83" s="420">
        <v>5</v>
      </c>
      <c r="B83" s="421" t="s">
        <v>1201</v>
      </c>
      <c r="C83" s="448">
        <f>'CHI NS HUYEN 35'!N17</f>
        <v>565.60000000000014</v>
      </c>
    </row>
    <row r="84" spans="1:3" s="94" customFormat="1" x14ac:dyDescent="0.25">
      <c r="A84" s="420">
        <v>6</v>
      </c>
      <c r="B84" s="421" t="s">
        <v>1202</v>
      </c>
      <c r="C84" s="422">
        <f>'CHI NS HUYEN 35'!F82</f>
        <v>6679</v>
      </c>
    </row>
    <row r="85" spans="1:3" s="94" customFormat="1" x14ac:dyDescent="0.25">
      <c r="A85" s="420">
        <v>7</v>
      </c>
      <c r="B85" s="421" t="s">
        <v>1203</v>
      </c>
      <c r="C85" s="422">
        <f>'CHI NS HUYEN 35'!F83</f>
        <v>14806.277281107999</v>
      </c>
    </row>
    <row r="86" spans="1:3" x14ac:dyDescent="0.25">
      <c r="A86" s="420" t="s">
        <v>70</v>
      </c>
      <c r="B86" s="421" t="s">
        <v>1204</v>
      </c>
      <c r="C86" s="422">
        <f>SUM(C87:C90)</f>
        <v>133860.85866349199</v>
      </c>
    </row>
    <row r="87" spans="1:3" x14ac:dyDescent="0.25">
      <c r="A87" s="427" t="s">
        <v>22</v>
      </c>
      <c r="B87" s="424" t="s">
        <v>1205</v>
      </c>
      <c r="C87" s="425">
        <f>'DT CHI NS XA 41'!C10-C88-C89-C90</f>
        <v>126782.1359446</v>
      </c>
    </row>
    <row r="88" spans="1:3" x14ac:dyDescent="0.25">
      <c r="A88" s="427" t="s">
        <v>22</v>
      </c>
      <c r="B88" s="424" t="s">
        <v>1196</v>
      </c>
      <c r="C88" s="425">
        <f>SUM('DT THU, CHI NSDP VA BSCĐ 39'!N13:N27)</f>
        <v>2199</v>
      </c>
    </row>
    <row r="89" spans="1:3" x14ac:dyDescent="0.25">
      <c r="A89" s="427" t="s">
        <v>22</v>
      </c>
      <c r="B89" s="424" t="s">
        <v>1201</v>
      </c>
      <c r="C89" s="425">
        <f>'DT CHI NS XA 41'!C43</f>
        <v>2255</v>
      </c>
    </row>
    <row r="90" spans="1:3" x14ac:dyDescent="0.25">
      <c r="A90" s="423" t="s">
        <v>22</v>
      </c>
      <c r="B90" s="424" t="s">
        <v>1203</v>
      </c>
      <c r="C90" s="425">
        <f>'DT CHI NS XA 41'!C44</f>
        <v>2624.7227188919996</v>
      </c>
    </row>
    <row r="92" spans="1:3" s="94" customFormat="1" x14ac:dyDescent="0.25">
      <c r="A92" s="92"/>
      <c r="B92" s="93"/>
      <c r="C92" s="93"/>
    </row>
    <row r="93" spans="1:3" x14ac:dyDescent="0.25">
      <c r="A93" s="97"/>
      <c r="B93" s="94"/>
      <c r="C93" s="95"/>
    </row>
    <row r="94" spans="1:3" x14ac:dyDescent="0.25">
      <c r="C94" s="96"/>
    </row>
    <row r="95" spans="1:3" s="94" customFormat="1" x14ac:dyDescent="0.25">
      <c r="A95" s="92"/>
      <c r="B95" s="93"/>
      <c r="C95" s="96"/>
    </row>
    <row r="96" spans="1:3" x14ac:dyDescent="0.25">
      <c r="A96" s="97"/>
      <c r="B96" s="94"/>
      <c r="C96" s="95"/>
    </row>
    <row r="97" spans="1:3" x14ac:dyDescent="0.25">
      <c r="C97" s="96"/>
    </row>
    <row r="98" spans="1:3" s="94" customFormat="1" x14ac:dyDescent="0.25">
      <c r="A98" s="92"/>
      <c r="B98" s="93"/>
      <c r="C98" s="96"/>
    </row>
    <row r="99" spans="1:3" x14ac:dyDescent="0.25">
      <c r="A99" s="97"/>
      <c r="B99" s="94"/>
      <c r="C99" s="95"/>
    </row>
  </sheetData>
  <mergeCells count="9">
    <mergeCell ref="A1:C1"/>
    <mergeCell ref="A2:C2"/>
    <mergeCell ref="B6:C6"/>
    <mergeCell ref="A7:A9"/>
    <mergeCell ref="B7:B9"/>
    <mergeCell ref="C7:C9"/>
    <mergeCell ref="A3:C3"/>
    <mergeCell ref="A5:C5"/>
    <mergeCell ref="A4:C4"/>
  </mergeCells>
  <printOptions horizontalCentered="1"/>
  <pageMargins left="0.25" right="0.25" top="0.25" bottom="0.94" header="0.31496062992126" footer="0.28000000000000003"/>
  <pageSetup paperSize="9" scale="90" orientation="portrait" verticalDpi="0" r:id="rId1"/>
  <headerFooter>
    <oddFooter>&amp;F&amp;RPage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0000"/>
  </sheetPr>
  <dimension ref="A1:C49"/>
  <sheetViews>
    <sheetView workbookViewId="0">
      <selection activeCell="C10" sqref="C10"/>
    </sheetView>
  </sheetViews>
  <sheetFormatPr defaultRowHeight="15" x14ac:dyDescent="0.25"/>
  <cols>
    <col min="1" max="1" width="5.42578125" customWidth="1"/>
    <col min="2" max="2" width="65.7109375" customWidth="1"/>
    <col min="3" max="3" width="16.28515625" customWidth="1"/>
  </cols>
  <sheetData>
    <row r="1" spans="1:3" ht="15.75" x14ac:dyDescent="0.25">
      <c r="C1" s="25" t="s">
        <v>661</v>
      </c>
    </row>
    <row r="2" spans="1:3" ht="19.5" customHeight="1" x14ac:dyDescent="0.25">
      <c r="A2" s="551" t="s">
        <v>662</v>
      </c>
      <c r="B2" s="551"/>
      <c r="C2" s="551"/>
    </row>
    <row r="3" spans="1:3" ht="15.75" x14ac:dyDescent="0.25">
      <c r="A3" s="551" t="s">
        <v>126</v>
      </c>
      <c r="B3" s="551"/>
      <c r="C3" s="551"/>
    </row>
    <row r="4" spans="1:3" ht="15.75" x14ac:dyDescent="0.25">
      <c r="C4" s="26" t="s">
        <v>56</v>
      </c>
    </row>
    <row r="5" spans="1:3" ht="33" customHeight="1" x14ac:dyDescent="0.25">
      <c r="A5" s="29" t="s">
        <v>3</v>
      </c>
      <c r="B5" s="29" t="s">
        <v>4</v>
      </c>
      <c r="C5" s="29" t="s">
        <v>1033</v>
      </c>
    </row>
    <row r="6" spans="1:3" ht="15.75" x14ac:dyDescent="0.25">
      <c r="A6" s="29" t="s">
        <v>15</v>
      </c>
      <c r="B6" s="29" t="s">
        <v>16</v>
      </c>
      <c r="C6" s="29">
        <v>1</v>
      </c>
    </row>
    <row r="7" spans="1:3" ht="15.75" x14ac:dyDescent="0.25">
      <c r="A7" s="29"/>
      <c r="B7" s="30" t="s">
        <v>90</v>
      </c>
      <c r="C7" s="28"/>
    </row>
    <row r="8" spans="1:3" ht="24.75" customHeight="1" x14ac:dyDescent="0.25">
      <c r="A8" s="29" t="s">
        <v>15</v>
      </c>
      <c r="B8" s="30" t="s">
        <v>552</v>
      </c>
      <c r="C8" s="28"/>
    </row>
    <row r="9" spans="1:3" ht="27" customHeight="1" x14ac:dyDescent="0.25">
      <c r="A9" s="29" t="s">
        <v>16</v>
      </c>
      <c r="B9" s="30" t="s">
        <v>553</v>
      </c>
      <c r="C9" s="28"/>
    </row>
    <row r="10" spans="1:3" ht="15.75" x14ac:dyDescent="0.25">
      <c r="A10" s="29" t="s">
        <v>83</v>
      </c>
      <c r="B10" s="30" t="s">
        <v>664</v>
      </c>
      <c r="C10" s="28"/>
    </row>
    <row r="11" spans="1:3" ht="15.75" x14ac:dyDescent="0.25">
      <c r="A11" s="28">
        <v>1</v>
      </c>
      <c r="B11" s="31" t="s">
        <v>417</v>
      </c>
      <c r="C11" s="28"/>
    </row>
    <row r="12" spans="1:3" ht="15.75" x14ac:dyDescent="0.25">
      <c r="A12" s="28" t="s">
        <v>22</v>
      </c>
      <c r="B12" s="31" t="s">
        <v>419</v>
      </c>
      <c r="C12" s="28"/>
    </row>
    <row r="13" spans="1:3" ht="15.75" x14ac:dyDescent="0.25">
      <c r="A13" s="28" t="s">
        <v>22</v>
      </c>
      <c r="B13" s="31" t="s">
        <v>420</v>
      </c>
      <c r="C13" s="28"/>
    </row>
    <row r="14" spans="1:3" ht="15.75" x14ac:dyDescent="0.25">
      <c r="A14" s="28" t="s">
        <v>22</v>
      </c>
      <c r="B14" s="31" t="s">
        <v>555</v>
      </c>
      <c r="C14" s="28"/>
    </row>
    <row r="15" spans="1:3" ht="15.75" x14ac:dyDescent="0.25">
      <c r="A15" s="28" t="s">
        <v>22</v>
      </c>
      <c r="B15" s="31" t="s">
        <v>556</v>
      </c>
      <c r="C15" s="28"/>
    </row>
    <row r="16" spans="1:3" ht="15.75" x14ac:dyDescent="0.25">
      <c r="A16" s="28" t="s">
        <v>22</v>
      </c>
      <c r="B16" s="31" t="s">
        <v>557</v>
      </c>
      <c r="C16" s="28"/>
    </row>
    <row r="17" spans="1:3" ht="15.75" x14ac:dyDescent="0.25">
      <c r="A17" s="28" t="s">
        <v>22</v>
      </c>
      <c r="B17" s="31" t="s">
        <v>558</v>
      </c>
      <c r="C17" s="28"/>
    </row>
    <row r="18" spans="1:3" ht="15.75" x14ac:dyDescent="0.25">
      <c r="A18" s="28" t="s">
        <v>22</v>
      </c>
      <c r="B18" s="31" t="s">
        <v>559</v>
      </c>
      <c r="C18" s="28"/>
    </row>
    <row r="19" spans="1:3" ht="15.75" x14ac:dyDescent="0.25">
      <c r="A19" s="28" t="s">
        <v>22</v>
      </c>
      <c r="B19" s="31" t="s">
        <v>560</v>
      </c>
      <c r="C19" s="28"/>
    </row>
    <row r="20" spans="1:3" ht="15.75" x14ac:dyDescent="0.25">
      <c r="A20" s="28" t="s">
        <v>22</v>
      </c>
      <c r="B20" s="31" t="s">
        <v>561</v>
      </c>
      <c r="C20" s="28"/>
    </row>
    <row r="21" spans="1:3" ht="15.75" x14ac:dyDescent="0.25">
      <c r="A21" s="28" t="s">
        <v>22</v>
      </c>
      <c r="B21" s="31" t="s">
        <v>562</v>
      </c>
      <c r="C21" s="28"/>
    </row>
    <row r="22" spans="1:3" ht="15.75" x14ac:dyDescent="0.25">
      <c r="A22" s="28" t="s">
        <v>22</v>
      </c>
      <c r="B22" s="31" t="s">
        <v>665</v>
      </c>
      <c r="C22" s="28"/>
    </row>
    <row r="23" spans="1:3" ht="15.75" x14ac:dyDescent="0.25">
      <c r="A23" s="28" t="s">
        <v>22</v>
      </c>
      <c r="B23" s="31" t="s">
        <v>564</v>
      </c>
      <c r="C23" s="28"/>
    </row>
    <row r="24" spans="1:3" ht="15.75" x14ac:dyDescent="0.25">
      <c r="A24" s="28" t="s">
        <v>22</v>
      </c>
      <c r="B24" s="31" t="s">
        <v>565</v>
      </c>
      <c r="C24" s="28"/>
    </row>
    <row r="25" spans="1:3" ht="31.5" x14ac:dyDescent="0.25">
      <c r="A25" s="28">
        <v>2</v>
      </c>
      <c r="B25" s="31" t="s">
        <v>666</v>
      </c>
      <c r="C25" s="28"/>
    </row>
    <row r="26" spans="1:3" ht="15.75" x14ac:dyDescent="0.25">
      <c r="A26" s="28">
        <v>3</v>
      </c>
      <c r="B26" s="31" t="s">
        <v>425</v>
      </c>
      <c r="C26" s="28"/>
    </row>
    <row r="27" spans="1:3" ht="15.75" x14ac:dyDescent="0.25">
      <c r="A27" s="29" t="s">
        <v>70</v>
      </c>
      <c r="B27" s="30" t="s">
        <v>96</v>
      </c>
      <c r="C27" s="28"/>
    </row>
    <row r="28" spans="1:3" ht="15.75" x14ac:dyDescent="0.25">
      <c r="A28" s="28" t="s">
        <v>22</v>
      </c>
      <c r="B28" s="31" t="s">
        <v>419</v>
      </c>
      <c r="C28" s="28"/>
    </row>
    <row r="29" spans="1:3" ht="15.75" x14ac:dyDescent="0.25">
      <c r="A29" s="28" t="s">
        <v>22</v>
      </c>
      <c r="B29" s="31" t="s">
        <v>667</v>
      </c>
      <c r="C29" s="28"/>
    </row>
    <row r="30" spans="1:3" ht="15.75" x14ac:dyDescent="0.25">
      <c r="A30" s="28" t="s">
        <v>22</v>
      </c>
      <c r="B30" s="31" t="s">
        <v>555</v>
      </c>
      <c r="C30" s="28"/>
    </row>
    <row r="31" spans="1:3" ht="15.75" x14ac:dyDescent="0.25">
      <c r="A31" s="28" t="s">
        <v>22</v>
      </c>
      <c r="B31" s="31" t="s">
        <v>556</v>
      </c>
      <c r="C31" s="28"/>
    </row>
    <row r="32" spans="1:3" ht="15.75" x14ac:dyDescent="0.25">
      <c r="A32" s="28" t="s">
        <v>22</v>
      </c>
      <c r="B32" s="31" t="s">
        <v>557</v>
      </c>
      <c r="C32" s="28"/>
    </row>
    <row r="33" spans="1:3" ht="15.75" x14ac:dyDescent="0.25">
      <c r="A33" s="28" t="s">
        <v>22</v>
      </c>
      <c r="B33" s="31" t="s">
        <v>558</v>
      </c>
      <c r="C33" s="28"/>
    </row>
    <row r="34" spans="1:3" ht="15.75" x14ac:dyDescent="0.25">
      <c r="A34" s="28" t="s">
        <v>22</v>
      </c>
      <c r="B34" s="31" t="s">
        <v>559</v>
      </c>
      <c r="C34" s="28"/>
    </row>
    <row r="35" spans="1:3" ht="15.75" x14ac:dyDescent="0.25">
      <c r="A35" s="28" t="s">
        <v>22</v>
      </c>
      <c r="B35" s="31" t="s">
        <v>560</v>
      </c>
      <c r="C35" s="28"/>
    </row>
    <row r="36" spans="1:3" ht="15.75" x14ac:dyDescent="0.25">
      <c r="A36" s="28" t="s">
        <v>22</v>
      </c>
      <c r="B36" s="31" t="s">
        <v>561</v>
      </c>
      <c r="C36" s="28"/>
    </row>
    <row r="37" spans="1:3" ht="15.75" x14ac:dyDescent="0.25">
      <c r="A37" s="28" t="s">
        <v>22</v>
      </c>
      <c r="B37" s="31" t="s">
        <v>562</v>
      </c>
      <c r="C37" s="28"/>
    </row>
    <row r="38" spans="1:3" ht="15.75" x14ac:dyDescent="0.25">
      <c r="A38" s="28" t="s">
        <v>22</v>
      </c>
      <c r="B38" s="31" t="s">
        <v>563</v>
      </c>
      <c r="C38" s="28"/>
    </row>
    <row r="39" spans="1:3" ht="15.75" x14ac:dyDescent="0.25">
      <c r="A39" s="28" t="s">
        <v>22</v>
      </c>
      <c r="B39" s="31" t="s">
        <v>564</v>
      </c>
      <c r="C39" s="28"/>
    </row>
    <row r="40" spans="1:3" ht="15.75" x14ac:dyDescent="0.25">
      <c r="A40" s="28"/>
      <c r="B40" s="31" t="s">
        <v>566</v>
      </c>
      <c r="C40" s="28"/>
    </row>
    <row r="41" spans="1:3" ht="15.75" x14ac:dyDescent="0.25">
      <c r="A41" s="29" t="s">
        <v>73</v>
      </c>
      <c r="B41" s="30" t="s">
        <v>668</v>
      </c>
      <c r="C41" s="28"/>
    </row>
    <row r="42" spans="1:3" ht="15.75" x14ac:dyDescent="0.25">
      <c r="A42" s="29" t="s">
        <v>77</v>
      </c>
      <c r="B42" s="30" t="s">
        <v>669</v>
      </c>
      <c r="C42" s="28"/>
    </row>
    <row r="43" spans="1:3" ht="15.75" x14ac:dyDescent="0.25">
      <c r="A43" s="29" t="s">
        <v>113</v>
      </c>
      <c r="B43" s="30" t="s">
        <v>247</v>
      </c>
      <c r="C43" s="28"/>
    </row>
    <row r="44" spans="1:3" ht="15.75" x14ac:dyDescent="0.25">
      <c r="A44" s="29" t="s">
        <v>426</v>
      </c>
      <c r="B44" s="30" t="s">
        <v>98</v>
      </c>
      <c r="C44" s="28"/>
    </row>
    <row r="45" spans="1:3" ht="15.75" x14ac:dyDescent="0.25">
      <c r="A45" s="29" t="s">
        <v>79</v>
      </c>
      <c r="B45" s="30" t="s">
        <v>476</v>
      </c>
      <c r="C45" s="28"/>
    </row>
    <row r="46" spans="1:3" ht="25.5" customHeight="1" x14ac:dyDescent="0.25">
      <c r="A46" s="27" t="s">
        <v>649</v>
      </c>
    </row>
    <row r="47" spans="1:3" ht="24" customHeight="1" x14ac:dyDescent="0.25">
      <c r="A47" s="593" t="s">
        <v>568</v>
      </c>
      <c r="B47" s="593"/>
      <c r="C47" s="593"/>
    </row>
    <row r="48" spans="1:3" s="36" customFormat="1" ht="74.25" customHeight="1" x14ac:dyDescent="0.25">
      <c r="A48" s="593" t="s">
        <v>349</v>
      </c>
      <c r="B48" s="593"/>
      <c r="C48" s="593"/>
    </row>
    <row r="49" spans="1:3" s="36" customFormat="1" ht="55.5" customHeight="1" x14ac:dyDescent="0.25">
      <c r="A49" s="593" t="s">
        <v>670</v>
      </c>
      <c r="B49" s="593"/>
      <c r="C49" s="593"/>
    </row>
  </sheetData>
  <mergeCells count="5">
    <mergeCell ref="A2:C2"/>
    <mergeCell ref="A3:C3"/>
    <mergeCell ref="A47:C47"/>
    <mergeCell ref="A48:C48"/>
    <mergeCell ref="A49:C49"/>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tabColor rgb="FFFF0000"/>
  </sheetPr>
  <dimension ref="A1:EJ170"/>
  <sheetViews>
    <sheetView zoomScale="130" zoomScaleNormal="130" workbookViewId="0">
      <selection activeCell="B72" sqref="B72"/>
    </sheetView>
  </sheetViews>
  <sheetFormatPr defaultColWidth="9.28515625" defaultRowHeight="16.149999999999999" customHeight="1" x14ac:dyDescent="0.25"/>
  <cols>
    <col min="1" max="1" width="4.5703125" style="98" customWidth="1"/>
    <col min="2" max="2" width="47.85546875" style="98" customWidth="1"/>
    <col min="3" max="3" width="9.42578125" style="98" customWidth="1"/>
    <col min="4" max="4" width="7.5703125" style="98" customWidth="1"/>
    <col min="5" max="5" width="8.28515625" style="98" customWidth="1"/>
    <col min="6" max="6" width="12.28515625" style="207" customWidth="1"/>
    <col min="7" max="7" width="11" style="207" customWidth="1"/>
    <col min="8" max="8" width="10.5703125" style="207" customWidth="1"/>
    <col min="9" max="9" width="9.28515625" style="207" customWidth="1"/>
    <col min="10" max="10" width="12.42578125" style="207" customWidth="1"/>
    <col min="11" max="11" width="9.28515625" style="207" customWidth="1"/>
    <col min="12" max="12" width="8.5703125" style="153" customWidth="1"/>
    <col min="13" max="14" width="8.42578125" style="207" customWidth="1"/>
    <col min="15" max="15" width="10" style="98" customWidth="1"/>
    <col min="16" max="16" width="13.7109375" style="98" hidden="1" customWidth="1"/>
    <col min="17" max="17" width="9.28515625" style="98" hidden="1" customWidth="1"/>
    <col min="18" max="18" width="11.7109375" style="98" hidden="1" customWidth="1"/>
    <col min="19" max="19" width="15" style="209" hidden="1" customWidth="1"/>
    <col min="20" max="20" width="16" style="98" hidden="1" customWidth="1"/>
    <col min="21" max="21" width="0" style="98" hidden="1" customWidth="1"/>
    <col min="22" max="16384" width="9.28515625" style="98"/>
  </cols>
  <sheetData>
    <row r="1" spans="1:19" ht="12.75" customHeight="1" x14ac:dyDescent="0.25">
      <c r="A1" s="151"/>
      <c r="C1" s="206"/>
      <c r="D1" s="206"/>
      <c r="E1" s="206"/>
      <c r="H1" s="205"/>
      <c r="I1" s="205"/>
      <c r="J1" s="205"/>
      <c r="K1" s="205"/>
      <c r="L1" s="205"/>
      <c r="M1" s="619" t="s">
        <v>1307</v>
      </c>
      <c r="N1" s="619"/>
      <c r="O1" s="619"/>
      <c r="P1" s="208"/>
    </row>
    <row r="2" spans="1:19" ht="18.75" x14ac:dyDescent="0.3">
      <c r="A2" s="620" t="s">
        <v>1729</v>
      </c>
      <c r="B2" s="620"/>
      <c r="C2" s="620"/>
      <c r="D2" s="620"/>
      <c r="E2" s="620"/>
      <c r="F2" s="620"/>
      <c r="G2" s="620"/>
      <c r="H2" s="620"/>
      <c r="I2" s="620"/>
      <c r="J2" s="620"/>
      <c r="K2" s="620"/>
      <c r="L2" s="620"/>
      <c r="M2" s="620"/>
      <c r="N2" s="620"/>
      <c r="O2" s="620"/>
      <c r="P2" s="208"/>
    </row>
    <row r="3" spans="1:19" ht="18.75" x14ac:dyDescent="0.3">
      <c r="A3" s="620" t="s">
        <v>1274</v>
      </c>
      <c r="B3" s="620"/>
      <c r="C3" s="620"/>
      <c r="D3" s="620"/>
      <c r="E3" s="620"/>
      <c r="F3" s="620"/>
      <c r="G3" s="620"/>
      <c r="H3" s="620"/>
      <c r="I3" s="620"/>
      <c r="J3" s="620"/>
      <c r="K3" s="620"/>
      <c r="L3" s="620"/>
      <c r="M3" s="620"/>
      <c r="N3" s="620"/>
      <c r="O3" s="620"/>
      <c r="P3" s="155"/>
    </row>
    <row r="4" spans="1:19" ht="16.5" customHeight="1" x14ac:dyDescent="0.25">
      <c r="A4" s="607" t="str">
        <f>'DT THU NSNN MAU 32'!A3:N3</f>
        <v>(Kèm theo Tờ trình số:             /TTr-UBND ngày        /11/2024 của UBND huyện Phụng Hiệp)</v>
      </c>
      <c r="B4" s="607"/>
      <c r="C4" s="607"/>
      <c r="D4" s="607"/>
      <c r="E4" s="607"/>
      <c r="F4" s="607"/>
      <c r="G4" s="607"/>
      <c r="H4" s="607"/>
      <c r="I4" s="607"/>
      <c r="J4" s="607"/>
      <c r="K4" s="607"/>
      <c r="L4" s="607"/>
      <c r="M4" s="607"/>
      <c r="N4" s="607"/>
      <c r="O4" s="607"/>
      <c r="P4" s="155"/>
    </row>
    <row r="5" spans="1:19" ht="16.5" hidden="1" customHeight="1" x14ac:dyDescent="0.25">
      <c r="A5" s="607" t="s">
        <v>1345</v>
      </c>
      <c r="B5" s="607"/>
      <c r="C5" s="607"/>
      <c r="D5" s="607"/>
      <c r="E5" s="607"/>
      <c r="F5" s="607"/>
      <c r="G5" s="607"/>
      <c r="H5" s="607"/>
      <c r="I5" s="607"/>
      <c r="J5" s="607"/>
      <c r="K5" s="607"/>
      <c r="L5" s="607"/>
      <c r="M5" s="607"/>
      <c r="N5" s="607"/>
      <c r="O5" s="607"/>
      <c r="P5" s="155"/>
    </row>
    <row r="6" spans="1:19" ht="16.5" hidden="1" customHeight="1" x14ac:dyDescent="0.25">
      <c r="A6" s="607" t="s">
        <v>1345</v>
      </c>
      <c r="B6" s="607"/>
      <c r="C6" s="607"/>
      <c r="D6" s="607"/>
      <c r="E6" s="607"/>
      <c r="F6" s="607"/>
      <c r="G6" s="607"/>
      <c r="H6" s="607"/>
      <c r="I6" s="607"/>
      <c r="J6" s="607"/>
      <c r="K6" s="607"/>
      <c r="L6" s="607"/>
      <c r="M6" s="607"/>
      <c r="N6" s="607"/>
      <c r="O6" s="607"/>
      <c r="P6" s="449"/>
      <c r="Q6" s="449"/>
      <c r="R6" s="449"/>
    </row>
    <row r="7" spans="1:19" ht="16.149999999999999" customHeight="1" x14ac:dyDescent="0.25">
      <c r="A7" s="151"/>
      <c r="C7" s="206"/>
      <c r="D7" s="206"/>
      <c r="E7" s="206"/>
      <c r="H7" s="621" t="s">
        <v>1085</v>
      </c>
      <c r="I7" s="621"/>
      <c r="J7" s="621"/>
      <c r="K7" s="621"/>
      <c r="L7" s="621"/>
      <c r="M7" s="621"/>
      <c r="N7" s="621"/>
      <c r="O7" s="621"/>
      <c r="P7" s="210"/>
    </row>
    <row r="8" spans="1:19" ht="15" customHeight="1" x14ac:dyDescent="0.25">
      <c r="A8" s="569" t="s">
        <v>1086</v>
      </c>
      <c r="B8" s="588" t="s">
        <v>161</v>
      </c>
      <c r="C8" s="615" t="s">
        <v>1087</v>
      </c>
      <c r="D8" s="615"/>
      <c r="E8" s="615"/>
      <c r="F8" s="615" t="s">
        <v>1730</v>
      </c>
      <c r="G8" s="615"/>
      <c r="H8" s="615"/>
      <c r="I8" s="615"/>
      <c r="J8" s="615"/>
      <c r="K8" s="615"/>
      <c r="L8" s="615"/>
      <c r="M8" s="615"/>
      <c r="N8" s="615"/>
      <c r="O8" s="615"/>
      <c r="P8" s="195"/>
    </row>
    <row r="9" spans="1:19" ht="16.149999999999999" customHeight="1" x14ac:dyDescent="0.25">
      <c r="A9" s="569"/>
      <c r="B9" s="588"/>
      <c r="C9" s="615" t="s">
        <v>1731</v>
      </c>
      <c r="D9" s="615" t="s">
        <v>1732</v>
      </c>
      <c r="E9" s="615" t="s">
        <v>1088</v>
      </c>
      <c r="F9" s="616" t="s">
        <v>1089</v>
      </c>
      <c r="G9" s="617" t="s">
        <v>1090</v>
      </c>
      <c r="H9" s="617"/>
      <c r="I9" s="617"/>
      <c r="J9" s="617"/>
      <c r="K9" s="617"/>
      <c r="L9" s="617"/>
      <c r="M9" s="617"/>
      <c r="N9" s="617"/>
      <c r="O9" s="615" t="s">
        <v>1091</v>
      </c>
      <c r="P9" s="195"/>
    </row>
    <row r="10" spans="1:19" ht="16.149999999999999" customHeight="1" x14ac:dyDescent="0.25">
      <c r="A10" s="569"/>
      <c r="B10" s="588"/>
      <c r="C10" s="615"/>
      <c r="D10" s="615"/>
      <c r="E10" s="615"/>
      <c r="F10" s="616"/>
      <c r="G10" s="616" t="s">
        <v>1092</v>
      </c>
      <c r="H10" s="617" t="s">
        <v>162</v>
      </c>
      <c r="I10" s="617"/>
      <c r="J10" s="617"/>
      <c r="K10" s="617"/>
      <c r="L10" s="617"/>
      <c r="M10" s="617"/>
      <c r="N10" s="617"/>
      <c r="O10" s="615"/>
      <c r="P10" s="195"/>
    </row>
    <row r="11" spans="1:19" ht="16.149999999999999" customHeight="1" x14ac:dyDescent="0.25">
      <c r="A11" s="569"/>
      <c r="B11" s="588"/>
      <c r="C11" s="615"/>
      <c r="D11" s="615"/>
      <c r="E11" s="615"/>
      <c r="F11" s="616"/>
      <c r="G11" s="616"/>
      <c r="H11" s="616" t="s">
        <v>1093</v>
      </c>
      <c r="I11" s="616" t="s">
        <v>1094</v>
      </c>
      <c r="J11" s="616" t="s">
        <v>1332</v>
      </c>
      <c r="K11" s="616" t="s">
        <v>1534</v>
      </c>
      <c r="L11" s="618" t="s">
        <v>1275</v>
      </c>
      <c r="M11" s="616" t="s">
        <v>1095</v>
      </c>
      <c r="N11" s="616" t="s">
        <v>1276</v>
      </c>
      <c r="O11" s="615"/>
      <c r="P11" s="195"/>
    </row>
    <row r="12" spans="1:19" ht="16.149999999999999" customHeight="1" x14ac:dyDescent="0.25">
      <c r="A12" s="569"/>
      <c r="B12" s="588"/>
      <c r="C12" s="615"/>
      <c r="D12" s="615"/>
      <c r="E12" s="615"/>
      <c r="F12" s="616"/>
      <c r="G12" s="616"/>
      <c r="H12" s="616"/>
      <c r="I12" s="616"/>
      <c r="J12" s="616"/>
      <c r="K12" s="616"/>
      <c r="L12" s="618"/>
      <c r="M12" s="616"/>
      <c r="N12" s="616"/>
      <c r="O12" s="615"/>
      <c r="P12" s="195"/>
    </row>
    <row r="13" spans="1:19" ht="16.149999999999999" customHeight="1" x14ac:dyDescent="0.25">
      <c r="A13" s="569"/>
      <c r="B13" s="588"/>
      <c r="C13" s="615"/>
      <c r="D13" s="615"/>
      <c r="E13" s="615"/>
      <c r="F13" s="616"/>
      <c r="G13" s="616"/>
      <c r="H13" s="616"/>
      <c r="I13" s="616"/>
      <c r="J13" s="616"/>
      <c r="K13" s="616"/>
      <c r="L13" s="618"/>
      <c r="M13" s="616"/>
      <c r="N13" s="616"/>
      <c r="O13" s="615"/>
      <c r="P13" s="195"/>
    </row>
    <row r="14" spans="1:19" ht="53.25" customHeight="1" x14ac:dyDescent="0.25">
      <c r="A14" s="569"/>
      <c r="B14" s="588"/>
      <c r="C14" s="615"/>
      <c r="D14" s="615"/>
      <c r="E14" s="615"/>
      <c r="F14" s="616"/>
      <c r="G14" s="616"/>
      <c r="H14" s="616"/>
      <c r="I14" s="616"/>
      <c r="J14" s="616"/>
      <c r="K14" s="616"/>
      <c r="L14" s="618"/>
      <c r="M14" s="616"/>
      <c r="N14" s="616"/>
      <c r="O14" s="615"/>
      <c r="P14" s="195"/>
    </row>
    <row r="15" spans="1:19" ht="11.25" customHeight="1" x14ac:dyDescent="0.25">
      <c r="A15" s="569"/>
      <c r="B15" s="588"/>
      <c r="C15" s="615"/>
      <c r="D15" s="615"/>
      <c r="E15" s="615"/>
      <c r="F15" s="616"/>
      <c r="G15" s="616"/>
      <c r="H15" s="616"/>
      <c r="I15" s="616"/>
      <c r="J15" s="616"/>
      <c r="K15" s="616"/>
      <c r="L15" s="618"/>
      <c r="M15" s="616"/>
      <c r="N15" s="616"/>
      <c r="O15" s="615"/>
      <c r="P15" s="151"/>
    </row>
    <row r="16" spans="1:19" s="21" customFormat="1" ht="15" x14ac:dyDescent="0.25">
      <c r="A16" s="465" t="s">
        <v>15</v>
      </c>
      <c r="B16" s="465" t="s">
        <v>16</v>
      </c>
      <c r="C16" s="466">
        <v>1</v>
      </c>
      <c r="D16" s="466">
        <v>2</v>
      </c>
      <c r="E16" s="466">
        <v>3</v>
      </c>
      <c r="F16" s="467" t="s">
        <v>1376</v>
      </c>
      <c r="G16" s="467" t="s">
        <v>1377</v>
      </c>
      <c r="H16" s="466">
        <v>6</v>
      </c>
      <c r="I16" s="466">
        <v>7</v>
      </c>
      <c r="J16" s="466">
        <v>8</v>
      </c>
      <c r="K16" s="466">
        <v>9</v>
      </c>
      <c r="L16" s="468">
        <v>10</v>
      </c>
      <c r="M16" s="466">
        <v>11</v>
      </c>
      <c r="N16" s="466">
        <v>12</v>
      </c>
      <c r="O16" s="466">
        <v>13</v>
      </c>
      <c r="P16" s="452"/>
      <c r="S16" s="405"/>
    </row>
    <row r="17" spans="1:20" s="208" customFormat="1" ht="14.25" x14ac:dyDescent="0.2">
      <c r="A17" s="469"/>
      <c r="B17" s="469" t="s">
        <v>1096</v>
      </c>
      <c r="C17" s="470">
        <f>SUM(C18+C22+C35+C73+C81+C82+C83)</f>
        <v>210</v>
      </c>
      <c r="D17" s="470">
        <f>SUM(D18+D22+D35+D73+D81+D82+D83)</f>
        <v>184</v>
      </c>
      <c r="E17" s="470">
        <f>SUM(E18+E22+E35+E73+E81+E82+E83)</f>
        <v>17</v>
      </c>
      <c r="F17" s="471">
        <f>SUM(F18+F22+F35+F73+F76+F81+F82+F83)</f>
        <v>269478.04501278797</v>
      </c>
      <c r="G17" s="471">
        <f t="shared" ref="G17:O17" si="0">SUM(G18+G22+G35+G73+G81+G82+G83)</f>
        <v>40790.427731679993</v>
      </c>
      <c r="H17" s="471">
        <f t="shared" si="0"/>
        <v>21800.037527999997</v>
      </c>
      <c r="I17" s="471">
        <f t="shared" si="0"/>
        <v>4795.0256296799989</v>
      </c>
      <c r="J17" s="471">
        <f t="shared" si="0"/>
        <v>8302.0313579999984</v>
      </c>
      <c r="K17" s="471">
        <f t="shared" si="0"/>
        <v>0</v>
      </c>
      <c r="L17" s="471">
        <f t="shared" si="0"/>
        <v>802.93321600000002</v>
      </c>
      <c r="M17" s="471">
        <f t="shared" si="0"/>
        <v>5090.3999999999996</v>
      </c>
      <c r="N17" s="471">
        <f t="shared" si="0"/>
        <v>565.60000000000014</v>
      </c>
      <c r="O17" s="470">
        <f t="shared" si="0"/>
        <v>225453.61728110799</v>
      </c>
      <c r="P17" s="213"/>
      <c r="S17" s="212"/>
    </row>
    <row r="18" spans="1:20" ht="15" x14ac:dyDescent="0.25">
      <c r="A18" s="469" t="s">
        <v>83</v>
      </c>
      <c r="B18" s="469" t="s">
        <v>1097</v>
      </c>
      <c r="C18" s="470">
        <f>SUM(C19+C21)</f>
        <v>0</v>
      </c>
      <c r="D18" s="470">
        <f>SUM(D19+D21)</f>
        <v>0</v>
      </c>
      <c r="E18" s="470">
        <f>SUM(E19+E21)</f>
        <v>0</v>
      </c>
      <c r="F18" s="471">
        <f t="shared" ref="F18:O18" si="1">SUM(F19:F21)</f>
        <v>59091</v>
      </c>
      <c r="G18" s="471">
        <f t="shared" si="1"/>
        <v>0</v>
      </c>
      <c r="H18" s="471">
        <f t="shared" si="1"/>
        <v>0</v>
      </c>
      <c r="I18" s="471">
        <f t="shared" si="1"/>
        <v>0</v>
      </c>
      <c r="J18" s="471">
        <f t="shared" si="1"/>
        <v>0</v>
      </c>
      <c r="K18" s="471"/>
      <c r="L18" s="471">
        <f t="shared" si="1"/>
        <v>0</v>
      </c>
      <c r="M18" s="471">
        <f t="shared" si="1"/>
        <v>0</v>
      </c>
      <c r="N18" s="471">
        <f t="shared" si="1"/>
        <v>0</v>
      </c>
      <c r="O18" s="471">
        <f t="shared" si="1"/>
        <v>59091</v>
      </c>
      <c r="P18" s="214"/>
    </row>
    <row r="19" spans="1:20" ht="15" x14ac:dyDescent="0.25">
      <c r="A19" s="472">
        <v>1</v>
      </c>
      <c r="B19" s="454" t="s">
        <v>1558</v>
      </c>
      <c r="C19" s="461">
        <f>D19+E19</f>
        <v>0</v>
      </c>
      <c r="D19" s="461"/>
      <c r="E19" s="461"/>
      <c r="F19" s="462">
        <f>G19+O19</f>
        <v>10916</v>
      </c>
      <c r="G19" s="462">
        <f>H19+I19+J19+L19+M19</f>
        <v>0</v>
      </c>
      <c r="H19" s="462"/>
      <c r="I19" s="462"/>
      <c r="J19" s="462"/>
      <c r="K19" s="462"/>
      <c r="L19" s="462"/>
      <c r="M19" s="462">
        <f>D19*20</f>
        <v>0</v>
      </c>
      <c r="N19" s="462"/>
      <c r="O19" s="473">
        <v>10916</v>
      </c>
      <c r="P19" s="214"/>
    </row>
    <row r="20" spans="1:20" ht="31.5" customHeight="1" x14ac:dyDescent="0.25">
      <c r="A20" s="472">
        <v>2</v>
      </c>
      <c r="B20" s="20" t="s">
        <v>1733</v>
      </c>
      <c r="C20" s="461">
        <f>D20+E20</f>
        <v>0</v>
      </c>
      <c r="D20" s="461"/>
      <c r="E20" s="461"/>
      <c r="F20" s="462">
        <f>G20+O20</f>
        <v>18255</v>
      </c>
      <c r="G20" s="462"/>
      <c r="H20" s="462"/>
      <c r="I20" s="462"/>
      <c r="J20" s="462"/>
      <c r="K20" s="462"/>
      <c r="L20" s="462"/>
      <c r="M20" s="462"/>
      <c r="N20" s="462"/>
      <c r="O20" s="473">
        <v>18255</v>
      </c>
      <c r="P20" s="214">
        <f>59723+4000</f>
        <v>63723</v>
      </c>
    </row>
    <row r="21" spans="1:20" ht="15" x14ac:dyDescent="0.25">
      <c r="A21" s="472">
        <v>4</v>
      </c>
      <c r="B21" s="454" t="s">
        <v>1535</v>
      </c>
      <c r="C21" s="461"/>
      <c r="D21" s="461"/>
      <c r="E21" s="461"/>
      <c r="F21" s="462">
        <f>G21+O21</f>
        <v>29920</v>
      </c>
      <c r="G21" s="462">
        <v>0</v>
      </c>
      <c r="H21" s="462"/>
      <c r="I21" s="462"/>
      <c r="J21" s="462"/>
      <c r="K21" s="462"/>
      <c r="L21" s="462"/>
      <c r="M21" s="462"/>
      <c r="N21" s="462"/>
      <c r="O21" s="461">
        <v>29920</v>
      </c>
      <c r="Q21" s="153"/>
    </row>
    <row r="22" spans="1:20" s="210" customFormat="1" ht="15" x14ac:dyDescent="0.25">
      <c r="A22" s="469" t="s">
        <v>70</v>
      </c>
      <c r="B22" s="469" t="s">
        <v>1099</v>
      </c>
      <c r="C22" s="470">
        <f>SUM(C23+C28+C29+C30+C31)</f>
        <v>47</v>
      </c>
      <c r="D22" s="470">
        <f>SUM(D23+D28+D29+D30+D31)</f>
        <v>40</v>
      </c>
      <c r="E22" s="470">
        <f>SUM(E23+E28+E29+E30+E31)</f>
        <v>5</v>
      </c>
      <c r="F22" s="470">
        <f t="shared" ref="F22:N22" si="2">SUM(F23+F28+F29+F30+F31)</f>
        <v>136733.84766547999</v>
      </c>
      <c r="G22" s="470">
        <f t="shared" si="2"/>
        <v>8078.2876654800002</v>
      </c>
      <c r="H22" s="470">
        <f t="shared" si="2"/>
        <v>5020.4712959999997</v>
      </c>
      <c r="I22" s="470">
        <f t="shared" si="2"/>
        <v>1155.2987674799999</v>
      </c>
      <c r="J22" s="470">
        <f t="shared" si="2"/>
        <v>586.57154400000002</v>
      </c>
      <c r="K22" s="470">
        <f t="shared" si="2"/>
        <v>0</v>
      </c>
      <c r="L22" s="470">
        <f t="shared" si="2"/>
        <v>131.54605799999999</v>
      </c>
      <c r="M22" s="470">
        <f t="shared" si="2"/>
        <v>1184.4000000000001</v>
      </c>
      <c r="N22" s="470">
        <f t="shared" si="2"/>
        <v>131.60000000000002</v>
      </c>
      <c r="O22" s="470">
        <f>SUM(O23+O28+O29+O30+O31)</f>
        <v>128655.56</v>
      </c>
      <c r="Q22" s="215"/>
      <c r="S22" s="216"/>
    </row>
    <row r="23" spans="1:20" ht="15" x14ac:dyDescent="0.25">
      <c r="A23" s="460">
        <v>1</v>
      </c>
      <c r="B23" s="454" t="s">
        <v>1785</v>
      </c>
      <c r="C23" s="461">
        <f>SUM(C24:C27)</f>
        <v>21</v>
      </c>
      <c r="D23" s="461">
        <f>SUM(D24:D27)</f>
        <v>18</v>
      </c>
      <c r="E23" s="461">
        <f>SUM(E24:E27)</f>
        <v>2</v>
      </c>
      <c r="F23" s="461">
        <f t="shared" ref="F23:O23" si="3">SUM(F24:F27)</f>
        <v>3866.5351420000002</v>
      </c>
      <c r="G23" s="461">
        <f t="shared" si="3"/>
        <v>2721.5351420000002</v>
      </c>
      <c r="H23" s="461">
        <f t="shared" si="3"/>
        <v>1734.2208000000001</v>
      </c>
      <c r="I23" s="461">
        <f t="shared" si="3"/>
        <v>407.54188799999997</v>
      </c>
      <c r="J23" s="461">
        <f t="shared" si="3"/>
        <v>11.231999999999999</v>
      </c>
      <c r="K23" s="461">
        <f t="shared" si="3"/>
        <v>0</v>
      </c>
      <c r="L23" s="461">
        <f t="shared" si="3"/>
        <v>39.340454000000001</v>
      </c>
      <c r="M23" s="461">
        <f t="shared" si="3"/>
        <v>529.19999999999993</v>
      </c>
      <c r="N23" s="461">
        <f t="shared" si="3"/>
        <v>58.800000000000004</v>
      </c>
      <c r="O23" s="461">
        <f t="shared" si="3"/>
        <v>1145</v>
      </c>
      <c r="Q23" s="153"/>
    </row>
    <row r="24" spans="1:20" ht="15" x14ac:dyDescent="0.25">
      <c r="A24" s="465"/>
      <c r="B24" s="474" t="s">
        <v>1101</v>
      </c>
      <c r="C24" s="475">
        <f>1+9</f>
        <v>10</v>
      </c>
      <c r="D24" s="475">
        <v>7</v>
      </c>
      <c r="E24" s="475">
        <v>1</v>
      </c>
      <c r="F24" s="476">
        <f t="shared" ref="F24:F30" si="4">G24+O24</f>
        <v>1684.7738260000001</v>
      </c>
      <c r="G24" s="476">
        <f>H24+I24+J24+K24+L24+M24</f>
        <v>1106.7738260000001</v>
      </c>
      <c r="H24" s="476">
        <f>(22.69+0.5)*2.34*12</f>
        <v>651.17520000000002</v>
      </c>
      <c r="I24" s="476">
        <f>H24*23.5%</f>
        <v>153.026172</v>
      </c>
      <c r="J24" s="476">
        <f>0.4*2.34*12</f>
        <v>11.231999999999999</v>
      </c>
      <c r="K24" s="476"/>
      <c r="L24" s="477">
        <v>39.340454000000001</v>
      </c>
      <c r="M24" s="476">
        <f>SUM(C24*28*90%)</f>
        <v>252</v>
      </c>
      <c r="N24" s="476">
        <f>SUM(C24*28*10%)</f>
        <v>28</v>
      </c>
      <c r="O24" s="461">
        <v>578</v>
      </c>
    </row>
    <row r="25" spans="1:20" ht="15" x14ac:dyDescent="0.25">
      <c r="A25" s="465"/>
      <c r="B25" s="474" t="s">
        <v>1102</v>
      </c>
      <c r="C25" s="475">
        <v>2</v>
      </c>
      <c r="D25" s="475">
        <v>2</v>
      </c>
      <c r="E25" s="475"/>
      <c r="F25" s="476">
        <f t="shared" si="4"/>
        <v>284.48189999999994</v>
      </c>
      <c r="G25" s="476">
        <f>H25+I25+J25+K25+L25+M25</f>
        <v>284.48189999999994</v>
      </c>
      <c r="H25" s="476">
        <f>(6.6+0.15)*2.34*12</f>
        <v>189.53999999999996</v>
      </c>
      <c r="I25" s="476">
        <f>H25*23.5%</f>
        <v>44.541899999999991</v>
      </c>
      <c r="J25" s="476"/>
      <c r="K25" s="476"/>
      <c r="L25" s="477"/>
      <c r="M25" s="476">
        <f>SUM(C25*28*90%)</f>
        <v>50.4</v>
      </c>
      <c r="N25" s="476">
        <f>SUM(C25*28*10%)</f>
        <v>5.6000000000000005</v>
      </c>
      <c r="O25" s="475"/>
    </row>
    <row r="26" spans="1:20" ht="15" x14ac:dyDescent="0.25">
      <c r="A26" s="465"/>
      <c r="B26" s="478" t="s">
        <v>1375</v>
      </c>
      <c r="C26" s="475">
        <v>7</v>
      </c>
      <c r="D26" s="475">
        <v>7</v>
      </c>
      <c r="E26" s="475">
        <v>1</v>
      </c>
      <c r="F26" s="476">
        <f t="shared" si="4"/>
        <v>1336.9186079999999</v>
      </c>
      <c r="G26" s="476">
        <f>H26+I26+J26+K26+L26+M26</f>
        <v>1048.9186079999999</v>
      </c>
      <c r="H26" s="476">
        <f>(24.96+0.2)*2.34*12</f>
        <v>706.49279999999999</v>
      </c>
      <c r="I26" s="476">
        <f>H26*23.5%</f>
        <v>166.02580799999998</v>
      </c>
      <c r="J26" s="476"/>
      <c r="K26" s="476"/>
      <c r="L26" s="477"/>
      <c r="M26" s="476">
        <f>SUM(C26*28*90%)</f>
        <v>176.4</v>
      </c>
      <c r="N26" s="476">
        <f>SUM(C26*28*10%)</f>
        <v>19.600000000000001</v>
      </c>
      <c r="O26" s="475">
        <v>288</v>
      </c>
    </row>
    <row r="27" spans="1:20" ht="15" x14ac:dyDescent="0.25">
      <c r="A27" s="465"/>
      <c r="B27" s="474" t="s">
        <v>1103</v>
      </c>
      <c r="C27" s="475">
        <f>D27+E27</f>
        <v>2</v>
      </c>
      <c r="D27" s="475">
        <v>2</v>
      </c>
      <c r="E27" s="475"/>
      <c r="F27" s="476">
        <f t="shared" si="4"/>
        <v>560.36080799999991</v>
      </c>
      <c r="G27" s="476">
        <f>H27+I27+J27+K27+L27+M27</f>
        <v>281.36080799999996</v>
      </c>
      <c r="H27" s="476">
        <f>6.66*2.34*12</f>
        <v>187.01279999999997</v>
      </c>
      <c r="I27" s="476">
        <f>H27*23.5%</f>
        <v>43.948007999999987</v>
      </c>
      <c r="J27" s="476"/>
      <c r="K27" s="476"/>
      <c r="L27" s="477"/>
      <c r="M27" s="476">
        <f>SUM(C27*28*90%)</f>
        <v>50.4</v>
      </c>
      <c r="N27" s="476">
        <f>SUM(C27*28*10%)</f>
        <v>5.6000000000000005</v>
      </c>
      <c r="O27" s="475">
        <v>279</v>
      </c>
    </row>
    <row r="28" spans="1:20" ht="15" x14ac:dyDescent="0.25">
      <c r="A28" s="460">
        <v>2</v>
      </c>
      <c r="B28" s="454" t="s">
        <v>1777</v>
      </c>
      <c r="C28" s="461">
        <f>D28+E28</f>
        <v>0</v>
      </c>
      <c r="D28" s="461"/>
      <c r="E28" s="461"/>
      <c r="F28" s="462">
        <f t="shared" si="4"/>
        <v>115000</v>
      </c>
      <c r="G28" s="462">
        <f>H28+I28+J28+L28+M28</f>
        <v>0</v>
      </c>
      <c r="H28" s="462"/>
      <c r="I28" s="462"/>
      <c r="J28" s="462"/>
      <c r="K28" s="462"/>
      <c r="L28" s="462"/>
      <c r="M28" s="462"/>
      <c r="N28" s="462"/>
      <c r="O28" s="461">
        <f>76000+39000</f>
        <v>115000</v>
      </c>
      <c r="R28" s="217" t="s">
        <v>1277</v>
      </c>
      <c r="S28" s="175">
        <f>204160+9292+11280+9482+5867</f>
        <v>240081</v>
      </c>
      <c r="T28" s="156"/>
    </row>
    <row r="29" spans="1:20" ht="15" x14ac:dyDescent="0.25">
      <c r="A29" s="460">
        <v>3</v>
      </c>
      <c r="B29" s="454" t="s">
        <v>1105</v>
      </c>
      <c r="C29" s="461">
        <f>D29+E29</f>
        <v>0</v>
      </c>
      <c r="D29" s="461"/>
      <c r="E29" s="461"/>
      <c r="F29" s="462">
        <f t="shared" si="4"/>
        <v>560</v>
      </c>
      <c r="G29" s="462">
        <f>H29+I29+J29+L29+M29</f>
        <v>0</v>
      </c>
      <c r="H29" s="462"/>
      <c r="I29" s="462"/>
      <c r="J29" s="462"/>
      <c r="K29" s="462"/>
      <c r="L29" s="462"/>
      <c r="M29" s="462"/>
      <c r="N29" s="462"/>
      <c r="O29" s="461">
        <v>560</v>
      </c>
      <c r="P29" s="206"/>
      <c r="R29" s="151" t="s">
        <v>1278</v>
      </c>
      <c r="S29" s="176" t="e">
        <f>S28-SUM(#REF!)</f>
        <v>#REF!</v>
      </c>
      <c r="T29" s="156"/>
    </row>
    <row r="30" spans="1:20" ht="15" x14ac:dyDescent="0.25">
      <c r="A30" s="460">
        <v>4</v>
      </c>
      <c r="B30" s="454" t="s">
        <v>1106</v>
      </c>
      <c r="C30" s="461">
        <f>D30+E30</f>
        <v>0</v>
      </c>
      <c r="D30" s="461"/>
      <c r="E30" s="461"/>
      <c r="F30" s="462">
        <f t="shared" si="4"/>
        <v>8828</v>
      </c>
      <c r="G30" s="462">
        <f>H30+I30+J30+L30+M30</f>
        <v>0</v>
      </c>
      <c r="H30" s="462"/>
      <c r="I30" s="462"/>
      <c r="J30" s="462"/>
      <c r="K30" s="462"/>
      <c r="L30" s="462"/>
      <c r="M30" s="462"/>
      <c r="N30" s="462"/>
      <c r="O30" s="461">
        <v>8828</v>
      </c>
      <c r="P30" s="206"/>
      <c r="R30" s="151" t="s">
        <v>1279</v>
      </c>
      <c r="S30" s="217" t="e">
        <f>S29*10%</f>
        <v>#REF!</v>
      </c>
      <c r="T30" s="156"/>
    </row>
    <row r="31" spans="1:20" s="208" customFormat="1" ht="15" x14ac:dyDescent="0.2">
      <c r="A31" s="460">
        <v>5</v>
      </c>
      <c r="B31" s="479" t="s">
        <v>1107</v>
      </c>
      <c r="C31" s="461">
        <f>SUM(C32:C34)</f>
        <v>26</v>
      </c>
      <c r="D31" s="461">
        <f>SUM(D32:D34)</f>
        <v>22</v>
      </c>
      <c r="E31" s="461">
        <f>SUM(E32:E34)</f>
        <v>3</v>
      </c>
      <c r="F31" s="462">
        <f>SUM(F32:F34)</f>
        <v>8479.3125234799991</v>
      </c>
      <c r="G31" s="462">
        <f>H31+I31+J31+K31+L31+M31</f>
        <v>5356.7525234799996</v>
      </c>
      <c r="H31" s="462">
        <f t="shared" ref="H31:O31" si="5">SUM(H32:H34)</f>
        <v>3286.2504960000001</v>
      </c>
      <c r="I31" s="462">
        <f t="shared" si="5"/>
        <v>747.75687947999995</v>
      </c>
      <c r="J31" s="462">
        <f t="shared" si="5"/>
        <v>575.33954400000005</v>
      </c>
      <c r="K31" s="462">
        <f t="shared" si="5"/>
        <v>0</v>
      </c>
      <c r="L31" s="462">
        <f t="shared" si="5"/>
        <v>92.205603999999994</v>
      </c>
      <c r="M31" s="462">
        <f t="shared" si="5"/>
        <v>655.20000000000005</v>
      </c>
      <c r="N31" s="462">
        <f t="shared" si="5"/>
        <v>72.800000000000011</v>
      </c>
      <c r="O31" s="462">
        <f t="shared" si="5"/>
        <v>3122.56</v>
      </c>
      <c r="P31" s="211"/>
      <c r="S31" s="212"/>
    </row>
    <row r="32" spans="1:20" s="208" customFormat="1" ht="15" x14ac:dyDescent="0.25">
      <c r="A32" s="460"/>
      <c r="B32" s="454" t="s">
        <v>1530</v>
      </c>
      <c r="C32" s="461">
        <f>D32+E32</f>
        <v>5</v>
      </c>
      <c r="D32" s="461">
        <v>4</v>
      </c>
      <c r="E32" s="461">
        <v>1</v>
      </c>
      <c r="F32" s="462">
        <f>G32+O32</f>
        <v>3384.17970384</v>
      </c>
      <c r="G32" s="462">
        <f>H32+I32+J32+K32+L32+M32</f>
        <v>961.61970383999983</v>
      </c>
      <c r="H32" s="462">
        <f>(17.13+0.2+0.4482+2.0286)*2.34*12</f>
        <v>556.17494399999987</v>
      </c>
      <c r="I32" s="462">
        <f>H32*23.5%</f>
        <v>130.70111183999995</v>
      </c>
      <c r="J32" s="462">
        <f>(3.8845+0.1)*2.34*12</f>
        <v>111.88476</v>
      </c>
      <c r="K32" s="476"/>
      <c r="L32" s="462">
        <v>36.858888</v>
      </c>
      <c r="M32" s="462">
        <f>SUM(C32*28*90%)</f>
        <v>126</v>
      </c>
      <c r="N32" s="462">
        <f>SUM(C32*28*10%)</f>
        <v>14</v>
      </c>
      <c r="O32" s="463">
        <v>2422.56</v>
      </c>
      <c r="R32" s="98" t="s">
        <v>1343</v>
      </c>
      <c r="S32" s="212"/>
    </row>
    <row r="33" spans="1:19" ht="15" x14ac:dyDescent="0.25">
      <c r="A33" s="460"/>
      <c r="B33" s="454" t="s">
        <v>1331</v>
      </c>
      <c r="C33" s="461">
        <f>D33+E33</f>
        <v>0</v>
      </c>
      <c r="D33" s="461"/>
      <c r="E33" s="461"/>
      <c r="F33" s="462">
        <f>G33+O33</f>
        <v>700</v>
      </c>
      <c r="G33" s="462">
        <f>H33+I33+J33+K33+L33+M33</f>
        <v>0</v>
      </c>
      <c r="H33" s="462"/>
      <c r="I33" s="462"/>
      <c r="J33" s="462"/>
      <c r="K33" s="462"/>
      <c r="L33" s="462"/>
      <c r="M33" s="462">
        <f>D33*18</f>
        <v>0</v>
      </c>
      <c r="N33" s="462"/>
      <c r="O33" s="463">
        <v>700</v>
      </c>
      <c r="P33" s="218"/>
    </row>
    <row r="34" spans="1:19" ht="15" x14ac:dyDescent="0.25">
      <c r="A34" s="460"/>
      <c r="B34" s="454" t="s">
        <v>1108</v>
      </c>
      <c r="C34" s="461">
        <v>21</v>
      </c>
      <c r="D34" s="461">
        <v>18</v>
      </c>
      <c r="E34" s="461">
        <f>1+1</f>
        <v>2</v>
      </c>
      <c r="F34" s="462">
        <f>G34+O34</f>
        <v>4395.13281964</v>
      </c>
      <c r="G34" s="462">
        <f>H34+I34+J34+K34+L34+M34</f>
        <v>4395.13281964</v>
      </c>
      <c r="H34" s="462">
        <f>(75.87+2.65+1.7928+13.3116)*2.34*12+(8.4252*12)</f>
        <v>2730.0755520000002</v>
      </c>
      <c r="I34" s="462">
        <f>(75.87+2.65+1.7928+13.1975)*2.34*12*23.5%</f>
        <v>617.05576764</v>
      </c>
      <c r="J34" s="462">
        <f>(0.1+16.4048)*2.34*12</f>
        <v>463.45478400000007</v>
      </c>
      <c r="K34" s="462"/>
      <c r="L34" s="462">
        <v>55.346716000000001</v>
      </c>
      <c r="M34" s="462">
        <f>SUM(C34*28*90%)</f>
        <v>529.20000000000005</v>
      </c>
      <c r="N34" s="462">
        <f>SUM(C34*28*10%)</f>
        <v>58.800000000000004</v>
      </c>
      <c r="O34" s="463"/>
      <c r="P34" s="218"/>
    </row>
    <row r="35" spans="1:19" ht="15" x14ac:dyDescent="0.25">
      <c r="A35" s="469" t="s">
        <v>73</v>
      </c>
      <c r="B35" s="469" t="s">
        <v>1109</v>
      </c>
      <c r="C35" s="470">
        <f t="shared" ref="C35:O35" si="6">SUM(C36+C50+C56+C63)</f>
        <v>163</v>
      </c>
      <c r="D35" s="470">
        <f t="shared" si="6"/>
        <v>144</v>
      </c>
      <c r="E35" s="470">
        <f t="shared" si="6"/>
        <v>12</v>
      </c>
      <c r="F35" s="471">
        <f t="shared" si="6"/>
        <v>42590.920066199993</v>
      </c>
      <c r="G35" s="471">
        <f t="shared" si="6"/>
        <v>32712.140066199994</v>
      </c>
      <c r="H35" s="471">
        <f t="shared" si="6"/>
        <v>16779.566231999997</v>
      </c>
      <c r="I35" s="471">
        <f t="shared" si="6"/>
        <v>3639.7268621999992</v>
      </c>
      <c r="J35" s="471">
        <f t="shared" si="6"/>
        <v>7715.4598139999989</v>
      </c>
      <c r="K35" s="471">
        <f t="shared" si="6"/>
        <v>0</v>
      </c>
      <c r="L35" s="471">
        <f t="shared" si="6"/>
        <v>671.387158</v>
      </c>
      <c r="M35" s="471">
        <f t="shared" si="6"/>
        <v>3906</v>
      </c>
      <c r="N35" s="471">
        <f t="shared" si="6"/>
        <v>434.00000000000011</v>
      </c>
      <c r="O35" s="471">
        <f t="shared" si="6"/>
        <v>9878.7799999999988</v>
      </c>
      <c r="P35" s="218"/>
    </row>
    <row r="36" spans="1:19" ht="15" x14ac:dyDescent="0.25">
      <c r="A36" s="469" t="s">
        <v>1110</v>
      </c>
      <c r="B36" s="469" t="s">
        <v>1111</v>
      </c>
      <c r="C36" s="470">
        <f>SUM(C37:C49)</f>
        <v>90</v>
      </c>
      <c r="D36" s="470">
        <f>SUM(D37:D49)</f>
        <v>80</v>
      </c>
      <c r="E36" s="470">
        <f>SUM(E37:E49)</f>
        <v>4</v>
      </c>
      <c r="F36" s="471">
        <f>F37+F40+F41+F42+F43+F44+F45+F46+F47+F48+F49</f>
        <v>21889.649671799998</v>
      </c>
      <c r="G36" s="471">
        <f t="shared" ref="G36:O36" si="7">G37+G40+G41+G42+G43+G44+G45+G46+G47+G48+G49</f>
        <v>17684.919671799995</v>
      </c>
      <c r="H36" s="471">
        <f t="shared" si="7"/>
        <v>9780.6599279999991</v>
      </c>
      <c r="I36" s="471">
        <f t="shared" si="7"/>
        <v>2204.1304037999998</v>
      </c>
      <c r="J36" s="471">
        <f t="shared" si="7"/>
        <v>3005.5961819999998</v>
      </c>
      <c r="K36" s="471">
        <f t="shared" si="7"/>
        <v>0</v>
      </c>
      <c r="L36" s="471">
        <f t="shared" si="7"/>
        <v>426.53315800000001</v>
      </c>
      <c r="M36" s="471">
        <f t="shared" si="7"/>
        <v>2268</v>
      </c>
      <c r="N36" s="471">
        <f t="shared" si="7"/>
        <v>252.00000000000003</v>
      </c>
      <c r="O36" s="471">
        <f t="shared" si="7"/>
        <v>4204.7299999999996</v>
      </c>
      <c r="P36" s="218"/>
    </row>
    <row r="37" spans="1:19" ht="15" x14ac:dyDescent="0.25">
      <c r="A37" s="460">
        <v>1</v>
      </c>
      <c r="B37" s="454" t="s">
        <v>1112</v>
      </c>
      <c r="C37" s="461">
        <f>22+4</f>
        <v>26</v>
      </c>
      <c r="D37" s="461">
        <v>20</v>
      </c>
      <c r="E37" s="461">
        <v>4</v>
      </c>
      <c r="F37" s="462">
        <f>G37+O37</f>
        <v>8251.5596007999993</v>
      </c>
      <c r="G37" s="462">
        <f>H37+I37+J37+K37+L37+M37</f>
        <v>5179.5596007999993</v>
      </c>
      <c r="H37" s="462">
        <f>(80.96+3.9+1.3446+12.4)*2.34*12</f>
        <v>2768.8171679999996</v>
      </c>
      <c r="I37" s="462">
        <f>H37*22.5%+(12.4*2.34*12*1%)</f>
        <v>626.46578279999983</v>
      </c>
      <c r="J37" s="462">
        <f>H37*25%+(0.1+(31*0.4)+(0.1*7)+(0.07*7))*2.34*12</f>
        <v>1076.6194919999998</v>
      </c>
      <c r="K37" s="462"/>
      <c r="L37" s="462">
        <v>52.457158</v>
      </c>
      <c r="M37" s="462">
        <f>SUM(C37*28*90%)</f>
        <v>655.20000000000005</v>
      </c>
      <c r="N37" s="462">
        <f>SUM(C37*28*10%)</f>
        <v>72.8</v>
      </c>
      <c r="O37" s="461">
        <f>SUM(O38:O39)</f>
        <v>3072</v>
      </c>
      <c r="P37" s="218"/>
    </row>
    <row r="38" spans="1:19" ht="15" x14ac:dyDescent="0.25">
      <c r="A38" s="460"/>
      <c r="B38" s="454" t="s">
        <v>1536</v>
      </c>
      <c r="C38" s="461"/>
      <c r="D38" s="461"/>
      <c r="E38" s="461"/>
      <c r="F38" s="462">
        <f t="shared" ref="F38:F48" si="8">G38+O38</f>
        <v>2572</v>
      </c>
      <c r="G38" s="462">
        <f>H38+I38+J38+K38+L38+M38</f>
        <v>0</v>
      </c>
      <c r="H38" s="462"/>
      <c r="I38" s="462"/>
      <c r="J38" s="462"/>
      <c r="K38" s="462"/>
      <c r="L38" s="462"/>
      <c r="M38" s="462"/>
      <c r="N38" s="462"/>
      <c r="O38" s="461">
        <v>2572</v>
      </c>
      <c r="P38" s="218"/>
    </row>
    <row r="39" spans="1:19" ht="15" x14ac:dyDescent="0.25">
      <c r="A39" s="460"/>
      <c r="B39" s="454" t="s">
        <v>1537</v>
      </c>
      <c r="C39" s="461"/>
      <c r="D39" s="461"/>
      <c r="E39" s="461"/>
      <c r="F39" s="462">
        <f t="shared" si="8"/>
        <v>500</v>
      </c>
      <c r="G39" s="462">
        <f>H39+I39+J39+K39+L39+M39</f>
        <v>0</v>
      </c>
      <c r="H39" s="462"/>
      <c r="I39" s="462"/>
      <c r="J39" s="462"/>
      <c r="K39" s="462"/>
      <c r="L39" s="462"/>
      <c r="M39" s="462"/>
      <c r="N39" s="462"/>
      <c r="O39" s="461">
        <v>500</v>
      </c>
      <c r="P39" s="218"/>
    </row>
    <row r="40" spans="1:19" ht="15" x14ac:dyDescent="0.25">
      <c r="A40" s="460">
        <v>2</v>
      </c>
      <c r="B40" s="454" t="s">
        <v>1115</v>
      </c>
      <c r="C40" s="461">
        <v>6</v>
      </c>
      <c r="D40" s="461">
        <v>5</v>
      </c>
      <c r="E40" s="461"/>
      <c r="F40" s="462">
        <f t="shared" si="8"/>
        <v>1669.6817839999999</v>
      </c>
      <c r="G40" s="462">
        <f t="shared" ref="G40:G49" si="9">H40+I40+J40+K40+L40+M40</f>
        <v>1173.9517839999999</v>
      </c>
      <c r="H40" s="462">
        <f>(21.69+0.5+0.398)*2.34*12</f>
        <v>634.27103999999997</v>
      </c>
      <c r="I40" s="462">
        <f>H40*22.5%</f>
        <v>142.710984</v>
      </c>
      <c r="J40" s="462">
        <f>H40*25%</f>
        <v>158.56775999999999</v>
      </c>
      <c r="K40" s="462"/>
      <c r="L40" s="462">
        <v>87.201999999999998</v>
      </c>
      <c r="M40" s="462">
        <f t="shared" ref="M40:M49" si="10">SUM(C40*28*90%)</f>
        <v>151.20000000000002</v>
      </c>
      <c r="N40" s="462">
        <f t="shared" ref="N40:N49" si="11">SUM(C40*28*10%)</f>
        <v>16.8</v>
      </c>
      <c r="O40" s="463">
        <v>495.73</v>
      </c>
      <c r="P40" s="218"/>
    </row>
    <row r="41" spans="1:19" ht="15" x14ac:dyDescent="0.25">
      <c r="A41" s="460">
        <v>3</v>
      </c>
      <c r="B41" s="454" t="s">
        <v>1117</v>
      </c>
      <c r="C41" s="461">
        <f>D41+E41</f>
        <v>5</v>
      </c>
      <c r="D41" s="461">
        <v>5</v>
      </c>
      <c r="E41" s="461"/>
      <c r="F41" s="462">
        <f>G41+O41</f>
        <v>1220.3781840000001</v>
      </c>
      <c r="G41" s="462">
        <f>H41+I41+J41+K41+L41+M41</f>
        <v>1096.3781840000001</v>
      </c>
      <c r="H41" s="462">
        <f>(21.69+0.7+0.498)*2.34*12</f>
        <v>642.69504000000006</v>
      </c>
      <c r="I41" s="462">
        <f>H41*22.5%</f>
        <v>144.60638400000002</v>
      </c>
      <c r="J41" s="462">
        <f>H41*25%</f>
        <v>160.67376000000002</v>
      </c>
      <c r="K41" s="462"/>
      <c r="L41" s="462">
        <v>22.402999999999999</v>
      </c>
      <c r="M41" s="462">
        <f t="shared" si="10"/>
        <v>126</v>
      </c>
      <c r="N41" s="462">
        <f t="shared" si="11"/>
        <v>14</v>
      </c>
      <c r="O41" s="463">
        <v>124</v>
      </c>
      <c r="P41" s="218"/>
    </row>
    <row r="42" spans="1:19" ht="15" x14ac:dyDescent="0.25">
      <c r="A42" s="460">
        <v>4</v>
      </c>
      <c r="B42" s="454" t="s">
        <v>1118</v>
      </c>
      <c r="C42" s="461">
        <f>D42+E42</f>
        <v>9</v>
      </c>
      <c r="D42" s="461">
        <v>9</v>
      </c>
      <c r="E42" s="461"/>
      <c r="F42" s="462">
        <f t="shared" si="8"/>
        <v>2078.7667999999999</v>
      </c>
      <c r="G42" s="462">
        <f t="shared" si="9"/>
        <v>1886.7667999999999</v>
      </c>
      <c r="H42" s="462">
        <f>(37.4+0.7)*2.34*12</f>
        <v>1069.848</v>
      </c>
      <c r="I42" s="462">
        <f>H42*22.5%</f>
        <v>240.7158</v>
      </c>
      <c r="J42" s="462">
        <f>H42*25%+0.2*2.34*12+2.5*12</f>
        <v>303.07799999999997</v>
      </c>
      <c r="K42" s="462"/>
      <c r="L42" s="462">
        <v>46.325000000000003</v>
      </c>
      <c r="M42" s="462">
        <f t="shared" si="10"/>
        <v>226.8</v>
      </c>
      <c r="N42" s="462">
        <f t="shared" si="11"/>
        <v>25.200000000000003</v>
      </c>
      <c r="O42" s="463">
        <f>250-58</f>
        <v>192</v>
      </c>
      <c r="P42" s="218"/>
    </row>
    <row r="43" spans="1:19" ht="15" x14ac:dyDescent="0.25">
      <c r="A43" s="460">
        <v>5</v>
      </c>
      <c r="B43" s="454" t="s">
        <v>1113</v>
      </c>
      <c r="C43" s="461">
        <f>D43+E43</f>
        <v>8</v>
      </c>
      <c r="D43" s="461">
        <v>8</v>
      </c>
      <c r="E43" s="461"/>
      <c r="F43" s="462">
        <f t="shared" si="8"/>
        <v>1479.28934</v>
      </c>
      <c r="G43" s="462">
        <f t="shared" si="9"/>
        <v>1479.28934</v>
      </c>
      <c r="H43" s="462">
        <f>(29.43+0.7)*2.34*12</f>
        <v>846.05039999999997</v>
      </c>
      <c r="I43" s="462">
        <f t="shared" ref="I43:I49" si="12">H43*22.5%</f>
        <v>190.36133999999998</v>
      </c>
      <c r="J43" s="462">
        <f>H43*25%</f>
        <v>211.51259999999999</v>
      </c>
      <c r="K43" s="462"/>
      <c r="L43" s="462">
        <v>29.765000000000001</v>
      </c>
      <c r="M43" s="462">
        <f t="shared" si="10"/>
        <v>201.6</v>
      </c>
      <c r="N43" s="462">
        <f t="shared" si="11"/>
        <v>22.400000000000002</v>
      </c>
      <c r="O43" s="463">
        <v>0</v>
      </c>
      <c r="P43" s="218"/>
    </row>
    <row r="44" spans="1:19" ht="15" x14ac:dyDescent="0.25">
      <c r="A44" s="460">
        <v>6</v>
      </c>
      <c r="B44" s="454" t="s">
        <v>1121</v>
      </c>
      <c r="C44" s="461">
        <v>5</v>
      </c>
      <c r="D44" s="461">
        <v>4</v>
      </c>
      <c r="E44" s="461"/>
      <c r="F44" s="462">
        <f t="shared" si="8"/>
        <v>1119.7908427999996</v>
      </c>
      <c r="G44" s="462">
        <f t="shared" si="9"/>
        <v>1119.7908427999996</v>
      </c>
      <c r="H44" s="462">
        <f>(20.7+0.7+1.3446)*2.34*12</f>
        <v>638.66836799999987</v>
      </c>
      <c r="I44" s="462">
        <f>H44*22.5%</f>
        <v>143.70038279999997</v>
      </c>
      <c r="J44" s="462">
        <f>H44*25%</f>
        <v>159.66709199999997</v>
      </c>
      <c r="K44" s="462"/>
      <c r="L44" s="462">
        <v>51.755000000000003</v>
      </c>
      <c r="M44" s="462">
        <f t="shared" si="10"/>
        <v>126</v>
      </c>
      <c r="N44" s="462">
        <f t="shared" si="11"/>
        <v>14</v>
      </c>
      <c r="O44" s="463">
        <v>0</v>
      </c>
      <c r="P44" s="218"/>
    </row>
    <row r="45" spans="1:19" ht="15" x14ac:dyDescent="0.25">
      <c r="A45" s="460">
        <v>7</v>
      </c>
      <c r="B45" s="454" t="s">
        <v>1119</v>
      </c>
      <c r="C45" s="461">
        <f>D45+E45</f>
        <v>6</v>
      </c>
      <c r="D45" s="461">
        <v>6</v>
      </c>
      <c r="E45" s="461"/>
      <c r="F45" s="462">
        <f t="shared" si="8"/>
        <v>1183.32754</v>
      </c>
      <c r="G45" s="462">
        <f t="shared" si="9"/>
        <v>1123.32754</v>
      </c>
      <c r="H45" s="462">
        <f>(21.83+0.7)*2.34*12</f>
        <v>632.64239999999995</v>
      </c>
      <c r="I45" s="462">
        <f>H45*22.5%</f>
        <v>142.34453999999999</v>
      </c>
      <c r="J45" s="462">
        <f>H45*25%</f>
        <v>158.16059999999999</v>
      </c>
      <c r="K45" s="462"/>
      <c r="L45" s="462">
        <v>38.979999999999997</v>
      </c>
      <c r="M45" s="462">
        <f t="shared" si="10"/>
        <v>151.20000000000002</v>
      </c>
      <c r="N45" s="462">
        <f t="shared" si="11"/>
        <v>16.8</v>
      </c>
      <c r="O45" s="461">
        <v>60</v>
      </c>
      <c r="P45" s="218"/>
    </row>
    <row r="46" spans="1:19" ht="15" x14ac:dyDescent="0.25">
      <c r="A46" s="460">
        <v>8</v>
      </c>
      <c r="B46" s="454" t="s">
        <v>1786</v>
      </c>
      <c r="C46" s="461">
        <v>5</v>
      </c>
      <c r="D46" s="461">
        <v>4</v>
      </c>
      <c r="E46" s="461"/>
      <c r="F46" s="462">
        <f t="shared" si="8"/>
        <v>923.29838000000007</v>
      </c>
      <c r="G46" s="462">
        <f t="shared" si="9"/>
        <v>828.29838000000007</v>
      </c>
      <c r="H46" s="462">
        <f>(15.71+0.7)*2.34*12</f>
        <v>460.7928</v>
      </c>
      <c r="I46" s="462">
        <f>H46*22.5%</f>
        <v>103.67838</v>
      </c>
      <c r="J46" s="462">
        <f>H46*25%</f>
        <v>115.1982</v>
      </c>
      <c r="K46" s="462"/>
      <c r="L46" s="462">
        <v>22.629000000000001</v>
      </c>
      <c r="M46" s="462">
        <f t="shared" si="10"/>
        <v>126</v>
      </c>
      <c r="N46" s="462">
        <f t="shared" si="11"/>
        <v>14</v>
      </c>
      <c r="O46" s="463">
        <v>95</v>
      </c>
      <c r="P46" s="218"/>
    </row>
    <row r="47" spans="1:19" ht="15" x14ac:dyDescent="0.25">
      <c r="A47" s="460">
        <v>9</v>
      </c>
      <c r="B47" s="454" t="s">
        <v>1114</v>
      </c>
      <c r="C47" s="461">
        <v>7</v>
      </c>
      <c r="D47" s="461">
        <v>6</v>
      </c>
      <c r="E47" s="461"/>
      <c r="F47" s="462">
        <f t="shared" si="8"/>
        <v>1248.8094800000001</v>
      </c>
      <c r="G47" s="462">
        <f t="shared" si="9"/>
        <v>1236.8094800000001</v>
      </c>
      <c r="H47" s="462">
        <f>(24.36+0.5)*2.34*12</f>
        <v>698.06880000000001</v>
      </c>
      <c r="I47" s="462">
        <f t="shared" si="12"/>
        <v>157.06548000000001</v>
      </c>
      <c r="J47" s="462">
        <f>H47*25%</f>
        <v>174.5172</v>
      </c>
      <c r="K47" s="462"/>
      <c r="L47" s="462">
        <v>30.757999999999999</v>
      </c>
      <c r="M47" s="462">
        <f t="shared" si="10"/>
        <v>176.4</v>
      </c>
      <c r="N47" s="462">
        <f>SUM(C47*28*10%)</f>
        <v>19.600000000000001</v>
      </c>
      <c r="O47" s="463">
        <v>12</v>
      </c>
      <c r="P47" s="218"/>
    </row>
    <row r="48" spans="1:19" s="208" customFormat="1" ht="15" x14ac:dyDescent="0.2">
      <c r="A48" s="460">
        <v>10</v>
      </c>
      <c r="B48" s="454" t="s">
        <v>1120</v>
      </c>
      <c r="C48" s="461">
        <v>8</v>
      </c>
      <c r="D48" s="461">
        <v>8</v>
      </c>
      <c r="E48" s="461"/>
      <c r="F48" s="462">
        <f t="shared" si="8"/>
        <v>1549.9152599999998</v>
      </c>
      <c r="G48" s="462">
        <f t="shared" si="9"/>
        <v>1476.9152599999998</v>
      </c>
      <c r="H48" s="462">
        <f>(29.37+0.7)*2.34*12</f>
        <v>844.36559999999997</v>
      </c>
      <c r="I48" s="462">
        <f>H48*22.5%</f>
        <v>189.98226</v>
      </c>
      <c r="J48" s="462">
        <f>H48*25%+((0.1+0.2)*2.34*12)</f>
        <v>219.5154</v>
      </c>
      <c r="K48" s="462"/>
      <c r="L48" s="462">
        <v>21.452000000000002</v>
      </c>
      <c r="M48" s="462">
        <f t="shared" si="10"/>
        <v>201.6</v>
      </c>
      <c r="N48" s="462">
        <f t="shared" si="11"/>
        <v>22.400000000000002</v>
      </c>
      <c r="O48" s="461">
        <v>73</v>
      </c>
      <c r="P48" s="218"/>
      <c r="S48" s="212"/>
    </row>
    <row r="49" spans="1:19" ht="15" x14ac:dyDescent="0.25">
      <c r="A49" s="460">
        <v>11</v>
      </c>
      <c r="B49" s="454" t="s">
        <v>1116</v>
      </c>
      <c r="C49" s="461">
        <f>D49+E49</f>
        <v>5</v>
      </c>
      <c r="D49" s="461">
        <v>5</v>
      </c>
      <c r="E49" s="461"/>
      <c r="F49" s="462">
        <f>G49+O49</f>
        <v>1164.8324602</v>
      </c>
      <c r="G49" s="462">
        <f t="shared" si="9"/>
        <v>1083.8324602</v>
      </c>
      <c r="H49" s="462">
        <f>(18.3+0.5+0.5889)*2.34*12</f>
        <v>544.44031199999995</v>
      </c>
      <c r="I49" s="462">
        <f t="shared" si="12"/>
        <v>122.49907019999999</v>
      </c>
      <c r="J49" s="462">
        <f>H49*25%+4.7*2.34*12</f>
        <v>268.08607799999999</v>
      </c>
      <c r="K49" s="462"/>
      <c r="L49" s="462">
        <v>22.806999999999999</v>
      </c>
      <c r="M49" s="462">
        <f t="shared" si="10"/>
        <v>126</v>
      </c>
      <c r="N49" s="462">
        <f t="shared" si="11"/>
        <v>14</v>
      </c>
      <c r="O49" s="463">
        <v>81</v>
      </c>
      <c r="P49" s="218"/>
    </row>
    <row r="50" spans="1:19" ht="15" x14ac:dyDescent="0.25">
      <c r="A50" s="469" t="s">
        <v>1110</v>
      </c>
      <c r="B50" s="469" t="s">
        <v>1531</v>
      </c>
      <c r="C50" s="470">
        <f>SUM(C51:C55)</f>
        <v>20</v>
      </c>
      <c r="D50" s="470">
        <f>SUM(D51:D55)</f>
        <v>18</v>
      </c>
      <c r="E50" s="470">
        <f>SUM(E51:E55)</f>
        <v>1</v>
      </c>
      <c r="F50" s="471">
        <f>SUM(F51:F55)</f>
        <v>4553.7543059999998</v>
      </c>
      <c r="G50" s="471">
        <f>H50+I50+J50+L50+M50</f>
        <v>4073.7543059999998</v>
      </c>
      <c r="H50" s="471">
        <f t="shared" ref="H50:O50" si="13">SUM(H51:H55)</f>
        <v>1959.0012000000002</v>
      </c>
      <c r="I50" s="471">
        <f t="shared" si="13"/>
        <v>395.41764599999999</v>
      </c>
      <c r="J50" s="471">
        <f t="shared" si="13"/>
        <v>1081.9434600000002</v>
      </c>
      <c r="K50" s="471">
        <f t="shared" si="13"/>
        <v>0</v>
      </c>
      <c r="L50" s="471">
        <f t="shared" si="13"/>
        <v>133.392</v>
      </c>
      <c r="M50" s="471">
        <f t="shared" si="13"/>
        <v>504.00000000000006</v>
      </c>
      <c r="N50" s="471">
        <f t="shared" si="13"/>
        <v>56.000000000000007</v>
      </c>
      <c r="O50" s="471">
        <f t="shared" si="13"/>
        <v>480</v>
      </c>
      <c r="P50" s="218"/>
    </row>
    <row r="51" spans="1:19" ht="15" x14ac:dyDescent="0.25">
      <c r="A51" s="460">
        <v>1</v>
      </c>
      <c r="B51" s="454" t="s">
        <v>1124</v>
      </c>
      <c r="C51" s="461">
        <f>D51+E51</f>
        <v>5</v>
      </c>
      <c r="D51" s="461">
        <v>4</v>
      </c>
      <c r="E51" s="461">
        <v>1</v>
      </c>
      <c r="F51" s="462">
        <f>G51+O51</f>
        <v>1083.2369400000002</v>
      </c>
      <c r="G51" s="462">
        <f>H51+I51+J51+K51+L51+M51</f>
        <v>1003.2369400000001</v>
      </c>
      <c r="H51" s="462">
        <f>(14.97+0.55+1.5)*2.34*12</f>
        <v>477.92160000000007</v>
      </c>
      <c r="I51" s="462">
        <f>H51*22.5%+(1.5*2.34*1%)</f>
        <v>107.56746000000001</v>
      </c>
      <c r="J51" s="462">
        <f>H51*55%</f>
        <v>262.85688000000005</v>
      </c>
      <c r="K51" s="462"/>
      <c r="L51" s="462">
        <v>28.890999999999998</v>
      </c>
      <c r="M51" s="462">
        <f>SUM(C51*28*90%)</f>
        <v>126</v>
      </c>
      <c r="N51" s="462">
        <f>SUM(C51*28*10%)</f>
        <v>14</v>
      </c>
      <c r="O51" s="463">
        <v>80</v>
      </c>
      <c r="P51" s="218"/>
    </row>
    <row r="52" spans="1:19" ht="15" x14ac:dyDescent="0.25">
      <c r="A52" s="460">
        <v>2</v>
      </c>
      <c r="B52" s="454" t="s">
        <v>1122</v>
      </c>
      <c r="C52" s="461">
        <v>4</v>
      </c>
      <c r="D52" s="461">
        <v>3</v>
      </c>
      <c r="E52" s="461"/>
      <c r="F52" s="462">
        <f>G52+O52</f>
        <v>862.31273999999996</v>
      </c>
      <c r="G52" s="462">
        <f>H52+I52+J52+K52+L52+M52</f>
        <v>672.31273999999996</v>
      </c>
      <c r="H52" s="462">
        <f>(10.32+0.65)*2.34*12</f>
        <v>308.0376</v>
      </c>
      <c r="I52" s="462">
        <f>H52*22.5%</f>
        <v>69.308459999999997</v>
      </c>
      <c r="J52" s="462">
        <f>H52*55%</f>
        <v>169.42068</v>
      </c>
      <c r="K52" s="462"/>
      <c r="L52" s="462">
        <v>24.745999999999999</v>
      </c>
      <c r="M52" s="462">
        <f>SUM(C52*28*90%)</f>
        <v>100.8</v>
      </c>
      <c r="N52" s="462">
        <f>SUM(C52*28*10%)</f>
        <v>11.200000000000001</v>
      </c>
      <c r="O52" s="463">
        <v>190</v>
      </c>
      <c r="P52" s="218"/>
    </row>
    <row r="53" spans="1:19" s="208" customFormat="1" ht="15" x14ac:dyDescent="0.2">
      <c r="A53" s="460">
        <v>3</v>
      </c>
      <c r="B53" s="454" t="s">
        <v>1123</v>
      </c>
      <c r="C53" s="461">
        <f t="shared" ref="C53:C62" si="14">D53+E53</f>
        <v>4</v>
      </c>
      <c r="D53" s="461">
        <v>4</v>
      </c>
      <c r="E53" s="461"/>
      <c r="F53" s="462">
        <f>G53+O53</f>
        <v>1037.2552500000002</v>
      </c>
      <c r="G53" s="462">
        <f>H53+I53+J53+K53+L53+M53</f>
        <v>927.25525000000005</v>
      </c>
      <c r="H53" s="462">
        <f>(12.3+0.65)*2.34*12+(3.66+0.15)*2.34*10</f>
        <v>452.79</v>
      </c>
      <c r="I53" s="462">
        <f>H53*22.5%</f>
        <v>101.87775000000001</v>
      </c>
      <c r="J53" s="462">
        <f>H53*55%</f>
        <v>249.03450000000004</v>
      </c>
      <c r="K53" s="462"/>
      <c r="L53" s="462">
        <v>22.753</v>
      </c>
      <c r="M53" s="462">
        <f>SUM(C53*28*90%)</f>
        <v>100.8</v>
      </c>
      <c r="N53" s="462">
        <f>SUM(C53*28*10%)</f>
        <v>11.200000000000001</v>
      </c>
      <c r="O53" s="463">
        <v>110</v>
      </c>
      <c r="P53" s="218"/>
      <c r="S53" s="212"/>
    </row>
    <row r="54" spans="1:19" ht="15" x14ac:dyDescent="0.25">
      <c r="A54" s="460">
        <v>4</v>
      </c>
      <c r="B54" s="454" t="s">
        <v>1787</v>
      </c>
      <c r="C54" s="461">
        <f>D54+E54</f>
        <v>4</v>
      </c>
      <c r="D54" s="461">
        <v>4</v>
      </c>
      <c r="E54" s="461"/>
      <c r="F54" s="462">
        <f>G54+O54</f>
        <v>923.94385999999986</v>
      </c>
      <c r="G54" s="462">
        <f>H54+I54+J54+K54+L54+M54</f>
        <v>863.94385999999986</v>
      </c>
      <c r="H54" s="462">
        <f>(14.18+0.65)*2.34*12</f>
        <v>416.42639999999994</v>
      </c>
      <c r="I54" s="462">
        <f>H54*22.5%</f>
        <v>93.695939999999993</v>
      </c>
      <c r="J54" s="462">
        <f>H54*55%</f>
        <v>229.03451999999999</v>
      </c>
      <c r="K54" s="462"/>
      <c r="L54" s="462">
        <v>23.986999999999998</v>
      </c>
      <c r="M54" s="462">
        <f>SUM(C54*28*90%)</f>
        <v>100.8</v>
      </c>
      <c r="N54" s="462">
        <f>SUM(C54*28*10%)</f>
        <v>11.200000000000001</v>
      </c>
      <c r="O54" s="463">
        <v>60</v>
      </c>
      <c r="P54" s="218"/>
    </row>
    <row r="55" spans="1:19" ht="15" x14ac:dyDescent="0.25">
      <c r="A55" s="460">
        <v>5</v>
      </c>
      <c r="B55" s="454" t="s">
        <v>1125</v>
      </c>
      <c r="C55" s="461">
        <f t="shared" si="14"/>
        <v>3</v>
      </c>
      <c r="D55" s="461">
        <v>3</v>
      </c>
      <c r="E55" s="461"/>
      <c r="F55" s="462">
        <f>G55+O55</f>
        <v>647.00551600000006</v>
      </c>
      <c r="G55" s="462">
        <f>H55+I55+J55+K55+L55+M55</f>
        <v>607.00551600000006</v>
      </c>
      <c r="H55" s="462">
        <f>(10.32+0.5)*2.34*12</f>
        <v>303.82560000000001</v>
      </c>
      <c r="I55" s="462">
        <f>3.99*2.34*12*20.5%</f>
        <v>22.968036000000001</v>
      </c>
      <c r="J55" s="462">
        <f>H55*55%+(0.16*2.34*12)</f>
        <v>171.59688</v>
      </c>
      <c r="K55" s="462"/>
      <c r="L55" s="462">
        <v>33.015000000000001</v>
      </c>
      <c r="M55" s="462">
        <f>SUM(C55*28*90%)</f>
        <v>75.600000000000009</v>
      </c>
      <c r="N55" s="462">
        <f>SUM(C55*28*10%)</f>
        <v>8.4</v>
      </c>
      <c r="O55" s="463">
        <v>40</v>
      </c>
      <c r="P55" s="218"/>
    </row>
    <row r="56" spans="1:19" ht="15" x14ac:dyDescent="0.25">
      <c r="A56" s="469" t="s">
        <v>1110</v>
      </c>
      <c r="B56" s="469" t="s">
        <v>1126</v>
      </c>
      <c r="C56" s="470">
        <f t="shared" ref="C56:O56" si="15">SUM(C57:C62)</f>
        <v>16</v>
      </c>
      <c r="D56" s="470">
        <f t="shared" si="15"/>
        <v>16</v>
      </c>
      <c r="E56" s="470">
        <f t="shared" si="15"/>
        <v>0</v>
      </c>
      <c r="F56" s="470">
        <f>SUM(F57:F62)</f>
        <v>1613.7883223999997</v>
      </c>
      <c r="G56" s="470">
        <f>SUM(G57:G62)</f>
        <v>1347.7383223999998</v>
      </c>
      <c r="H56" s="470">
        <f t="shared" si="15"/>
        <v>874.54598399999998</v>
      </c>
      <c r="I56" s="470">
        <f t="shared" si="15"/>
        <v>97.0874424</v>
      </c>
      <c r="J56" s="470">
        <f t="shared" si="15"/>
        <v>40.819896</v>
      </c>
      <c r="K56" s="470">
        <f t="shared" si="15"/>
        <v>0</v>
      </c>
      <c r="L56" s="470">
        <f t="shared" si="15"/>
        <v>32.884999999999998</v>
      </c>
      <c r="M56" s="470">
        <f t="shared" si="15"/>
        <v>302.40000000000003</v>
      </c>
      <c r="N56" s="470">
        <f t="shared" si="15"/>
        <v>33.6</v>
      </c>
      <c r="O56" s="470">
        <f t="shared" si="15"/>
        <v>266.05</v>
      </c>
      <c r="P56" s="218"/>
    </row>
    <row r="57" spans="1:19" ht="15" x14ac:dyDescent="0.25">
      <c r="A57" s="460">
        <v>1</v>
      </c>
      <c r="B57" s="454" t="s">
        <v>1788</v>
      </c>
      <c r="C57" s="461">
        <v>3</v>
      </c>
      <c r="D57" s="461">
        <v>3</v>
      </c>
      <c r="E57" s="461"/>
      <c r="F57" s="462">
        <f t="shared" ref="F57:F62" si="16">G57+O57</f>
        <v>317.92199599999998</v>
      </c>
      <c r="G57" s="462">
        <f t="shared" ref="G57:G62" si="17">H57+I57+J57+K57+L57+M57</f>
        <v>297.92199599999998</v>
      </c>
      <c r="H57" s="462">
        <f>(2.45+2.17+2.67)*2.34*12</f>
        <v>204.70319999999998</v>
      </c>
      <c r="I57" s="462">
        <f>2.67*2.34*12*23.5%</f>
        <v>17.618796</v>
      </c>
      <c r="J57" s="462"/>
      <c r="K57" s="462"/>
      <c r="L57" s="462"/>
      <c r="M57" s="462">
        <f>SUM(C57*28*90%)</f>
        <v>75.600000000000009</v>
      </c>
      <c r="N57" s="462">
        <f>SUM(C57*28*10%)</f>
        <v>8.4</v>
      </c>
      <c r="O57" s="463">
        <v>20</v>
      </c>
      <c r="P57" s="218"/>
    </row>
    <row r="58" spans="1:19" ht="15" x14ac:dyDescent="0.25">
      <c r="A58" s="460">
        <v>6</v>
      </c>
      <c r="B58" s="454" t="s">
        <v>1532</v>
      </c>
      <c r="C58" s="461">
        <f>D58+E58</f>
        <v>3</v>
      </c>
      <c r="D58" s="461">
        <v>3</v>
      </c>
      <c r="E58" s="461"/>
      <c r="F58" s="462">
        <f t="shared" si="16"/>
        <v>282.31319999999999</v>
      </c>
      <c r="G58" s="462">
        <f t="shared" si="17"/>
        <v>266.26319999999998</v>
      </c>
      <c r="H58" s="462">
        <f>(2.45+2.17+2.17)*2.34*12</f>
        <v>190.66319999999999</v>
      </c>
      <c r="I58" s="462"/>
      <c r="J58" s="462"/>
      <c r="K58" s="462"/>
      <c r="L58" s="462"/>
      <c r="M58" s="462">
        <f>SUM(C58*28*90%)</f>
        <v>75.600000000000009</v>
      </c>
      <c r="N58" s="462">
        <f>SUM(C58*28*10%)</f>
        <v>8.4</v>
      </c>
      <c r="O58" s="463">
        <v>16.05</v>
      </c>
      <c r="P58" s="218"/>
    </row>
    <row r="59" spans="1:19" ht="15" x14ac:dyDescent="0.25">
      <c r="A59" s="460">
        <v>3</v>
      </c>
      <c r="B59" s="454" t="s">
        <v>1127</v>
      </c>
      <c r="C59" s="461">
        <f t="shared" si="14"/>
        <v>2</v>
      </c>
      <c r="D59" s="461">
        <v>2</v>
      </c>
      <c r="E59" s="461"/>
      <c r="F59" s="462">
        <f t="shared" si="16"/>
        <v>180.12960000000001</v>
      </c>
      <c r="G59" s="462">
        <f t="shared" si="17"/>
        <v>180.12960000000001</v>
      </c>
      <c r="H59" s="462">
        <f>(2.45+2.17)*2.34*12</f>
        <v>129.7296</v>
      </c>
      <c r="I59" s="462"/>
      <c r="J59" s="462"/>
      <c r="K59" s="462"/>
      <c r="L59" s="462"/>
      <c r="M59" s="462">
        <f>SUM(C59*28*90%)</f>
        <v>50.4</v>
      </c>
      <c r="N59" s="462">
        <f>SUM(C59*28*10%)</f>
        <v>5.6000000000000005</v>
      </c>
      <c r="O59" s="463"/>
      <c r="P59" s="218"/>
    </row>
    <row r="60" spans="1:19" ht="15" x14ac:dyDescent="0.25">
      <c r="A60" s="460">
        <v>4</v>
      </c>
      <c r="B60" s="454" t="s">
        <v>1789</v>
      </c>
      <c r="C60" s="461">
        <f t="shared" si="14"/>
        <v>4</v>
      </c>
      <c r="D60" s="461">
        <v>4</v>
      </c>
      <c r="E60" s="461"/>
      <c r="F60" s="462">
        <f t="shared" si="16"/>
        <v>743.4235263999999</v>
      </c>
      <c r="G60" s="462">
        <f t="shared" si="17"/>
        <v>603.4235263999999</v>
      </c>
      <c r="H60" s="462">
        <f>(11.82+0.3+0.3248)*2.34*12</f>
        <v>349.44998399999997</v>
      </c>
      <c r="I60" s="462">
        <f>H60*22.5%+3*2.34*12*1%</f>
        <v>79.468646399999997</v>
      </c>
      <c r="J60" s="462">
        <f>1.4537*2.34*12</f>
        <v>40.819896</v>
      </c>
      <c r="K60" s="462"/>
      <c r="L60" s="462">
        <v>32.884999999999998</v>
      </c>
      <c r="M60" s="462">
        <f>SUM(C60*28*90%)</f>
        <v>100.8</v>
      </c>
      <c r="N60" s="462">
        <f>SUM(C60*28*10%)</f>
        <v>11.200000000000001</v>
      </c>
      <c r="O60" s="463">
        <v>140</v>
      </c>
      <c r="P60" s="218"/>
      <c r="Q60" s="206" t="e">
        <f>O60+L60+M62+#REF!+#REF!</f>
        <v>#REF!</v>
      </c>
      <c r="R60" s="153">
        <f>H60+I60+J60</f>
        <v>469.73852639999996</v>
      </c>
    </row>
    <row r="61" spans="1:19" ht="15" x14ac:dyDescent="0.25">
      <c r="A61" s="460">
        <v>5</v>
      </c>
      <c r="B61" s="454" t="s">
        <v>1790</v>
      </c>
      <c r="C61" s="461">
        <v>2</v>
      </c>
      <c r="D61" s="461">
        <v>2</v>
      </c>
      <c r="E61" s="461"/>
      <c r="F61" s="462">
        <f t="shared" si="16"/>
        <v>40</v>
      </c>
      <c r="G61" s="462">
        <f t="shared" si="17"/>
        <v>0</v>
      </c>
      <c r="H61" s="462"/>
      <c r="I61" s="462"/>
      <c r="J61" s="462"/>
      <c r="K61" s="462"/>
      <c r="L61" s="462"/>
      <c r="M61" s="462"/>
      <c r="N61" s="462"/>
      <c r="O61" s="463">
        <v>40</v>
      </c>
      <c r="P61" s="218"/>
      <c r="Q61" s="206"/>
      <c r="R61" s="153"/>
    </row>
    <row r="62" spans="1:19" ht="15" x14ac:dyDescent="0.25">
      <c r="A62" s="460">
        <v>6</v>
      </c>
      <c r="B62" s="454" t="s">
        <v>1128</v>
      </c>
      <c r="C62" s="461">
        <f t="shared" si="14"/>
        <v>2</v>
      </c>
      <c r="D62" s="461">
        <v>2</v>
      </c>
      <c r="E62" s="461"/>
      <c r="F62" s="462">
        <f t="shared" si="16"/>
        <v>50</v>
      </c>
      <c r="G62" s="462">
        <f t="shared" si="17"/>
        <v>0</v>
      </c>
      <c r="H62" s="462"/>
      <c r="I62" s="462"/>
      <c r="J62" s="462"/>
      <c r="K62" s="462"/>
      <c r="L62" s="462"/>
      <c r="M62" s="462"/>
      <c r="N62" s="462"/>
      <c r="O62" s="463">
        <v>50</v>
      </c>
      <c r="P62" s="218"/>
    </row>
    <row r="63" spans="1:19" ht="15" x14ac:dyDescent="0.25">
      <c r="A63" s="469" t="s">
        <v>1110</v>
      </c>
      <c r="B63" s="469" t="s">
        <v>1129</v>
      </c>
      <c r="C63" s="470">
        <f>SUM(C64+C67+C68)</f>
        <v>37</v>
      </c>
      <c r="D63" s="470">
        <f t="shared" ref="D63:N63" si="18">SUM(D64+D67+D68)</f>
        <v>30</v>
      </c>
      <c r="E63" s="470">
        <f t="shared" si="18"/>
        <v>7</v>
      </c>
      <c r="F63" s="470">
        <f>SUM(F64+F67+F68)</f>
        <v>14533.727765999998</v>
      </c>
      <c r="G63" s="470">
        <f t="shared" si="18"/>
        <v>9605.7277659999982</v>
      </c>
      <c r="H63" s="470">
        <f t="shared" si="18"/>
        <v>4165.3591199999992</v>
      </c>
      <c r="I63" s="470">
        <f t="shared" si="18"/>
        <v>943.09136999999987</v>
      </c>
      <c r="J63" s="470">
        <f t="shared" si="18"/>
        <v>3587.1002759999992</v>
      </c>
      <c r="K63" s="470">
        <f t="shared" si="18"/>
        <v>0</v>
      </c>
      <c r="L63" s="470">
        <f t="shared" si="18"/>
        <v>78.576999999999998</v>
      </c>
      <c r="M63" s="470">
        <f t="shared" si="18"/>
        <v>831.6</v>
      </c>
      <c r="N63" s="470">
        <f t="shared" si="18"/>
        <v>92.4</v>
      </c>
      <c r="O63" s="470">
        <f>O64</f>
        <v>4928</v>
      </c>
      <c r="Q63" s="206"/>
    </row>
    <row r="64" spans="1:19" ht="15" x14ac:dyDescent="0.25">
      <c r="A64" s="460" t="s">
        <v>1388</v>
      </c>
      <c r="B64" s="454" t="s">
        <v>1130</v>
      </c>
      <c r="C64" s="461">
        <f>SUM(C65:C66)</f>
        <v>37</v>
      </c>
      <c r="D64" s="461">
        <f t="shared" ref="D64:K64" si="19">SUM(D65:D66)</f>
        <v>30</v>
      </c>
      <c r="E64" s="461">
        <f t="shared" si="19"/>
        <v>7</v>
      </c>
      <c r="F64" s="461">
        <f>SUM(F65:F66)</f>
        <v>12177.727765999998</v>
      </c>
      <c r="G64" s="461">
        <f>SUM(G65:G66)</f>
        <v>9605.7277659999982</v>
      </c>
      <c r="H64" s="461">
        <f t="shared" si="19"/>
        <v>4165.3591199999992</v>
      </c>
      <c r="I64" s="461">
        <f t="shared" si="19"/>
        <v>943.09136999999987</v>
      </c>
      <c r="J64" s="461">
        <f t="shared" si="19"/>
        <v>3587.1002759999992</v>
      </c>
      <c r="K64" s="461">
        <f t="shared" si="19"/>
        <v>0</v>
      </c>
      <c r="L64" s="461">
        <f>SUM(L65:L66)</f>
        <v>78.576999999999998</v>
      </c>
      <c r="M64" s="461">
        <f>SUM(M65:M66)</f>
        <v>831.6</v>
      </c>
      <c r="N64" s="461">
        <f>SUM(N65:N66)</f>
        <v>92.4</v>
      </c>
      <c r="O64" s="461">
        <f>O66+O67+O68</f>
        <v>4928</v>
      </c>
      <c r="Q64" s="206"/>
    </row>
    <row r="65" spans="1:140" ht="15" x14ac:dyDescent="0.25">
      <c r="A65" s="460"/>
      <c r="B65" s="454" t="s">
        <v>1533</v>
      </c>
      <c r="C65" s="461">
        <f t="shared" ref="C65:C72" si="20">D65+E65</f>
        <v>37</v>
      </c>
      <c r="D65" s="461">
        <v>30</v>
      </c>
      <c r="E65" s="461">
        <f>3+4</f>
        <v>7</v>
      </c>
      <c r="F65" s="462">
        <f>G65+O65</f>
        <v>9605.7277659999982</v>
      </c>
      <c r="G65" s="462">
        <f>H65+I65+J65+K65+L65+M65</f>
        <v>9605.7277659999982</v>
      </c>
      <c r="H65" s="462">
        <f>(118.08+6.45+0.299+2.55+10.1+10.86)*2.34*12</f>
        <v>4165.3591199999992</v>
      </c>
      <c r="I65" s="462">
        <f>H65*22.5%+(10.1+10.86)*2.34*1%*12</f>
        <v>943.09136999999987</v>
      </c>
      <c r="J65" s="462">
        <f>H65*55%-10.86*55%+1.51*2.34*12+2.925*12+0.3*(29+3)*2.34*12+0.15*2.34*5*12+16*2.34*12+2.1*2.34*12+3*2.34*12+1*2.34*12+16.62*10%*2.34*12+4*2.34*12+5.5*2.34*12</f>
        <v>3587.1002759999992</v>
      </c>
      <c r="K65" s="462"/>
      <c r="L65" s="462">
        <f>33.805+22.253+22.519</f>
        <v>78.576999999999998</v>
      </c>
      <c r="M65" s="462">
        <f>(33*28*90%)</f>
        <v>831.6</v>
      </c>
      <c r="N65" s="462">
        <f>(33*28*10%)</f>
        <v>92.4</v>
      </c>
      <c r="O65" s="463"/>
      <c r="Q65" s="206"/>
    </row>
    <row r="66" spans="1:140" ht="15" x14ac:dyDescent="0.25">
      <c r="A66" s="460"/>
      <c r="B66" s="454" t="s">
        <v>1538</v>
      </c>
      <c r="C66" s="461">
        <f t="shared" si="20"/>
        <v>0</v>
      </c>
      <c r="D66" s="461"/>
      <c r="E66" s="461"/>
      <c r="F66" s="462">
        <f t="shared" ref="F66:F72" si="21">G66+O66</f>
        <v>2572</v>
      </c>
      <c r="G66" s="462">
        <f t="shared" ref="G66:G72" si="22">H66+I66+J66+K66+L66+M66</f>
        <v>0</v>
      </c>
      <c r="H66" s="462"/>
      <c r="I66" s="462"/>
      <c r="J66" s="462"/>
      <c r="K66" s="462"/>
      <c r="L66" s="462"/>
      <c r="M66" s="462"/>
      <c r="N66" s="462"/>
      <c r="O66" s="463">
        <v>2572</v>
      </c>
      <c r="Q66" s="206"/>
    </row>
    <row r="67" spans="1:140" ht="15" x14ac:dyDescent="0.25">
      <c r="A67" s="455" t="s">
        <v>1389</v>
      </c>
      <c r="B67" s="456" t="s">
        <v>1383</v>
      </c>
      <c r="C67" s="457">
        <f t="shared" si="20"/>
        <v>0</v>
      </c>
      <c r="D67" s="457"/>
      <c r="E67" s="457"/>
      <c r="F67" s="462">
        <f t="shared" si="21"/>
        <v>500</v>
      </c>
      <c r="G67" s="462">
        <f t="shared" si="22"/>
        <v>0</v>
      </c>
      <c r="H67" s="458"/>
      <c r="I67" s="458"/>
      <c r="J67" s="458"/>
      <c r="K67" s="458"/>
      <c r="L67" s="458"/>
      <c r="M67" s="458"/>
      <c r="N67" s="458"/>
      <c r="O67" s="459">
        <v>500</v>
      </c>
      <c r="P67" s="403"/>
      <c r="Q67" s="21"/>
      <c r="R67" s="404"/>
      <c r="S67" s="21"/>
      <c r="T67" s="405"/>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row>
    <row r="68" spans="1:140" ht="15" x14ac:dyDescent="0.25">
      <c r="A68" s="455" t="s">
        <v>1390</v>
      </c>
      <c r="B68" s="456" t="s">
        <v>1387</v>
      </c>
      <c r="C68" s="457"/>
      <c r="D68" s="457"/>
      <c r="E68" s="457"/>
      <c r="F68" s="471">
        <f t="shared" si="21"/>
        <v>1856</v>
      </c>
      <c r="G68" s="462">
        <f>H68+I68+J68+K68+L68+M68</f>
        <v>0</v>
      </c>
      <c r="H68" s="458"/>
      <c r="I68" s="458"/>
      <c r="J68" s="458"/>
      <c r="K68" s="458"/>
      <c r="L68" s="458"/>
      <c r="M68" s="458"/>
      <c r="N68" s="458"/>
      <c r="O68" s="458">
        <f>SUM(O69:O72)</f>
        <v>1856</v>
      </c>
      <c r="P68" s="403"/>
      <c r="Q68" s="21"/>
      <c r="R68" s="404"/>
      <c r="S68" s="21"/>
      <c r="T68" s="405"/>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row>
    <row r="69" spans="1:140" ht="15" x14ac:dyDescent="0.25">
      <c r="A69" s="460">
        <v>1</v>
      </c>
      <c r="B69" s="454" t="s">
        <v>1384</v>
      </c>
      <c r="C69" s="461">
        <f t="shared" si="20"/>
        <v>0</v>
      </c>
      <c r="D69" s="461"/>
      <c r="E69" s="461"/>
      <c r="F69" s="462">
        <f t="shared" si="21"/>
        <v>87</v>
      </c>
      <c r="G69" s="462">
        <f t="shared" si="22"/>
        <v>0</v>
      </c>
      <c r="H69" s="462"/>
      <c r="I69" s="462"/>
      <c r="J69" s="462"/>
      <c r="K69" s="462"/>
      <c r="L69" s="462"/>
      <c r="M69" s="462"/>
      <c r="N69" s="462"/>
      <c r="O69" s="463">
        <v>87</v>
      </c>
      <c r="P69" s="406"/>
      <c r="R69" s="206"/>
      <c r="S69" s="98"/>
      <c r="T69" s="209"/>
    </row>
    <row r="70" spans="1:140" ht="15" x14ac:dyDescent="0.25">
      <c r="A70" s="460">
        <v>2</v>
      </c>
      <c r="B70" s="454" t="s">
        <v>1791</v>
      </c>
      <c r="C70" s="461">
        <f t="shared" si="20"/>
        <v>0</v>
      </c>
      <c r="D70" s="461"/>
      <c r="E70" s="461"/>
      <c r="F70" s="462">
        <f t="shared" si="21"/>
        <v>379</v>
      </c>
      <c r="G70" s="462">
        <f t="shared" si="22"/>
        <v>0</v>
      </c>
      <c r="H70" s="462"/>
      <c r="I70" s="462"/>
      <c r="J70" s="462"/>
      <c r="K70" s="462"/>
      <c r="L70" s="462"/>
      <c r="M70" s="462"/>
      <c r="N70" s="462"/>
      <c r="O70" s="463">
        <v>379</v>
      </c>
      <c r="P70" s="406"/>
      <c r="R70" s="206"/>
      <c r="S70" s="98"/>
      <c r="T70" s="209"/>
    </row>
    <row r="71" spans="1:140" s="208" customFormat="1" ht="15" x14ac:dyDescent="0.25">
      <c r="A71" s="460">
        <v>3</v>
      </c>
      <c r="B71" s="454" t="s">
        <v>1385</v>
      </c>
      <c r="C71" s="461">
        <f t="shared" si="20"/>
        <v>0</v>
      </c>
      <c r="D71" s="461"/>
      <c r="E71" s="461"/>
      <c r="F71" s="462">
        <f t="shared" si="21"/>
        <v>354</v>
      </c>
      <c r="G71" s="462">
        <f t="shared" si="22"/>
        <v>0</v>
      </c>
      <c r="H71" s="462"/>
      <c r="I71" s="462"/>
      <c r="J71" s="462"/>
      <c r="K71" s="462"/>
      <c r="L71" s="462"/>
      <c r="M71" s="462"/>
      <c r="N71" s="462"/>
      <c r="O71" s="463">
        <v>354</v>
      </c>
      <c r="P71" s="406"/>
      <c r="Q71" s="98"/>
      <c r="R71" s="206"/>
      <c r="S71" s="98"/>
      <c r="T71" s="209"/>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8"/>
      <c r="BR71" s="98"/>
      <c r="BS71" s="98"/>
      <c r="BT71" s="98"/>
      <c r="BU71" s="98"/>
      <c r="BV71" s="98"/>
      <c r="BW71" s="98"/>
      <c r="BX71" s="98"/>
      <c r="BY71" s="98"/>
      <c r="BZ71" s="98"/>
      <c r="CA71" s="98"/>
      <c r="CB71" s="98"/>
      <c r="CC71" s="98"/>
      <c r="CD71" s="98"/>
      <c r="CE71" s="98"/>
      <c r="CF71" s="98"/>
      <c r="CG71" s="98"/>
      <c r="CH71" s="98"/>
      <c r="CI71" s="98"/>
      <c r="CJ71" s="98"/>
      <c r="CK71" s="98"/>
      <c r="CL71" s="98"/>
      <c r="CM71" s="98"/>
      <c r="CN71" s="98"/>
      <c r="CO71" s="98"/>
      <c r="CP71" s="98"/>
      <c r="CQ71" s="98"/>
      <c r="CR71" s="98"/>
      <c r="CS71" s="98"/>
      <c r="CT71" s="98"/>
      <c r="CU71" s="98"/>
      <c r="CV71" s="98"/>
      <c r="CW71" s="98"/>
      <c r="CX71" s="98"/>
      <c r="CY71" s="98"/>
      <c r="CZ71" s="98"/>
      <c r="DA71" s="98"/>
      <c r="DB71" s="98"/>
      <c r="DC71" s="98"/>
      <c r="DD71" s="98"/>
      <c r="DE71" s="98"/>
      <c r="DF71" s="98"/>
      <c r="DG71" s="98"/>
      <c r="DH71" s="98"/>
      <c r="DI71" s="98"/>
      <c r="DJ71" s="98"/>
      <c r="DK71" s="98"/>
      <c r="DL71" s="98"/>
      <c r="DM71" s="98"/>
      <c r="DN71" s="98"/>
      <c r="DO71" s="98"/>
      <c r="DP71" s="98"/>
      <c r="DQ71" s="98"/>
      <c r="DR71" s="98"/>
      <c r="DS71" s="98"/>
      <c r="DT71" s="98"/>
      <c r="DU71" s="98"/>
      <c r="DV71" s="98"/>
      <c r="DW71" s="98"/>
      <c r="DX71" s="98"/>
      <c r="DY71" s="98"/>
      <c r="DZ71" s="98"/>
      <c r="EA71" s="98"/>
      <c r="EB71" s="98"/>
      <c r="EC71" s="98"/>
      <c r="ED71" s="98"/>
      <c r="EE71" s="98"/>
      <c r="EF71" s="98"/>
      <c r="EG71" s="98"/>
      <c r="EH71" s="98"/>
      <c r="EI71" s="98"/>
      <c r="EJ71" s="98"/>
    </row>
    <row r="72" spans="1:140" ht="15" x14ac:dyDescent="0.25">
      <c r="A72" s="460">
        <v>4</v>
      </c>
      <c r="B72" s="454" t="s">
        <v>1386</v>
      </c>
      <c r="C72" s="461">
        <f t="shared" si="20"/>
        <v>0</v>
      </c>
      <c r="D72" s="461"/>
      <c r="E72" s="461"/>
      <c r="F72" s="462">
        <f t="shared" si="21"/>
        <v>1036</v>
      </c>
      <c r="G72" s="462">
        <f t="shared" si="22"/>
        <v>0</v>
      </c>
      <c r="H72" s="462"/>
      <c r="I72" s="462"/>
      <c r="J72" s="462"/>
      <c r="K72" s="462"/>
      <c r="L72" s="462"/>
      <c r="M72" s="462"/>
      <c r="N72" s="462"/>
      <c r="O72" s="463">
        <v>1036</v>
      </c>
      <c r="P72" s="406"/>
      <c r="R72" s="206"/>
      <c r="S72" s="98"/>
      <c r="T72" s="209"/>
    </row>
    <row r="73" spans="1:140" ht="15" x14ac:dyDescent="0.25">
      <c r="A73" s="469" t="s">
        <v>77</v>
      </c>
      <c r="B73" s="469" t="s">
        <v>1131</v>
      </c>
      <c r="C73" s="470">
        <f t="shared" ref="C73:M73" si="23">SUM(C74:C75)</f>
        <v>0</v>
      </c>
      <c r="D73" s="470">
        <f t="shared" si="23"/>
        <v>0</v>
      </c>
      <c r="E73" s="470">
        <f t="shared" si="23"/>
        <v>0</v>
      </c>
      <c r="F73" s="471">
        <f>SUM(F74:F75)</f>
        <v>4820</v>
      </c>
      <c r="G73" s="471">
        <f t="shared" ref="G73:G80" si="24">H73+I73+J73++L73+M73</f>
        <v>0</v>
      </c>
      <c r="H73" s="471">
        <f t="shared" si="23"/>
        <v>0</v>
      </c>
      <c r="I73" s="471">
        <f t="shared" si="23"/>
        <v>0</v>
      </c>
      <c r="J73" s="471">
        <f t="shared" si="23"/>
        <v>0</v>
      </c>
      <c r="K73" s="471"/>
      <c r="L73" s="471">
        <f t="shared" si="23"/>
        <v>0</v>
      </c>
      <c r="M73" s="471">
        <f t="shared" si="23"/>
        <v>0</v>
      </c>
      <c r="N73" s="471"/>
      <c r="O73" s="470">
        <f>SUM(O74:O75)</f>
        <v>4820</v>
      </c>
    </row>
    <row r="74" spans="1:140" ht="15" x14ac:dyDescent="0.25">
      <c r="A74" s="460">
        <v>1</v>
      </c>
      <c r="B74" s="454" t="s">
        <v>1776</v>
      </c>
      <c r="C74" s="461">
        <f>D74+E74</f>
        <v>0</v>
      </c>
      <c r="D74" s="461"/>
      <c r="E74" s="461"/>
      <c r="F74" s="462">
        <f t="shared" ref="F74:F80" si="25">G74+O74</f>
        <v>4060</v>
      </c>
      <c r="G74" s="462">
        <f t="shared" si="24"/>
        <v>0</v>
      </c>
      <c r="H74" s="462"/>
      <c r="I74" s="462"/>
      <c r="J74" s="462"/>
      <c r="K74" s="462"/>
      <c r="L74" s="462"/>
      <c r="M74" s="462"/>
      <c r="N74" s="462"/>
      <c r="O74" s="463">
        <f>5250-1190</f>
        <v>4060</v>
      </c>
    </row>
    <row r="75" spans="1:140" s="208" customFormat="1" ht="15" x14ac:dyDescent="0.2">
      <c r="A75" s="460">
        <v>2</v>
      </c>
      <c r="B75" s="454" t="s">
        <v>1553</v>
      </c>
      <c r="C75" s="461">
        <f>D75+E75</f>
        <v>0</v>
      </c>
      <c r="D75" s="461"/>
      <c r="E75" s="461"/>
      <c r="F75" s="462">
        <f t="shared" si="25"/>
        <v>760</v>
      </c>
      <c r="G75" s="462">
        <f t="shared" si="24"/>
        <v>0</v>
      </c>
      <c r="H75" s="462"/>
      <c r="I75" s="462"/>
      <c r="J75" s="462"/>
      <c r="K75" s="462"/>
      <c r="L75" s="462"/>
      <c r="M75" s="462"/>
      <c r="N75" s="462"/>
      <c r="O75" s="463">
        <v>760</v>
      </c>
      <c r="P75" s="213"/>
      <c r="S75" s="212"/>
    </row>
    <row r="76" spans="1:140" s="208" customFormat="1" ht="14.25" x14ac:dyDescent="0.2">
      <c r="A76" s="469" t="s">
        <v>113</v>
      </c>
      <c r="B76" s="480" t="s">
        <v>1346</v>
      </c>
      <c r="C76" s="470"/>
      <c r="D76" s="470"/>
      <c r="E76" s="470"/>
      <c r="F76" s="471">
        <f>SUM(F77:F80)</f>
        <v>3234</v>
      </c>
      <c r="G76" s="471">
        <f t="shared" ref="G76:O76" si="26">SUM(G77:G80)</f>
        <v>0</v>
      </c>
      <c r="H76" s="471">
        <f t="shared" si="26"/>
        <v>0</v>
      </c>
      <c r="I76" s="471">
        <f t="shared" si="26"/>
        <v>0</v>
      </c>
      <c r="J76" s="471">
        <f t="shared" si="26"/>
        <v>0</v>
      </c>
      <c r="K76" s="471"/>
      <c r="L76" s="471">
        <f t="shared" si="26"/>
        <v>0</v>
      </c>
      <c r="M76" s="471">
        <f t="shared" si="26"/>
        <v>0</v>
      </c>
      <c r="N76" s="471">
        <f t="shared" si="26"/>
        <v>0</v>
      </c>
      <c r="O76" s="471">
        <f t="shared" si="26"/>
        <v>3234</v>
      </c>
      <c r="P76" s="213"/>
      <c r="S76" s="212"/>
    </row>
    <row r="77" spans="1:140" s="208" customFormat="1" ht="15" x14ac:dyDescent="0.2">
      <c r="A77" s="460"/>
      <c r="B77" s="20" t="s">
        <v>1334</v>
      </c>
      <c r="C77" s="461"/>
      <c r="D77" s="461"/>
      <c r="E77" s="461"/>
      <c r="F77" s="462">
        <f t="shared" si="25"/>
        <v>2000</v>
      </c>
      <c r="G77" s="462">
        <f t="shared" si="24"/>
        <v>0</v>
      </c>
      <c r="H77" s="462"/>
      <c r="I77" s="462"/>
      <c r="J77" s="462"/>
      <c r="K77" s="462"/>
      <c r="L77" s="462"/>
      <c r="M77" s="462"/>
      <c r="N77" s="462"/>
      <c r="O77" s="462">
        <v>2000</v>
      </c>
      <c r="P77" s="213"/>
      <c r="S77" s="212"/>
    </row>
    <row r="78" spans="1:140" s="208" customFormat="1" ht="15" x14ac:dyDescent="0.2">
      <c r="A78" s="460"/>
      <c r="B78" s="464" t="s">
        <v>1539</v>
      </c>
      <c r="C78" s="461"/>
      <c r="D78" s="461"/>
      <c r="E78" s="461"/>
      <c r="F78" s="462">
        <f t="shared" si="25"/>
        <v>500</v>
      </c>
      <c r="G78" s="462">
        <f t="shared" si="24"/>
        <v>0</v>
      </c>
      <c r="H78" s="462"/>
      <c r="I78" s="462"/>
      <c r="J78" s="462"/>
      <c r="K78" s="462"/>
      <c r="L78" s="462"/>
      <c r="M78" s="462"/>
      <c r="N78" s="462"/>
      <c r="O78" s="462">
        <v>500</v>
      </c>
      <c r="P78" s="213"/>
      <c r="S78" s="212"/>
    </row>
    <row r="79" spans="1:140" s="208" customFormat="1" ht="15" x14ac:dyDescent="0.2">
      <c r="A79" s="460"/>
      <c r="B79" s="20" t="s">
        <v>1347</v>
      </c>
      <c r="C79" s="461"/>
      <c r="D79" s="461"/>
      <c r="E79" s="461"/>
      <c r="F79" s="462">
        <f t="shared" si="25"/>
        <v>500</v>
      </c>
      <c r="G79" s="462">
        <f t="shared" si="24"/>
        <v>0</v>
      </c>
      <c r="H79" s="462"/>
      <c r="I79" s="462"/>
      <c r="J79" s="462"/>
      <c r="K79" s="462"/>
      <c r="L79" s="462"/>
      <c r="M79" s="462"/>
      <c r="N79" s="462"/>
      <c r="O79" s="462">
        <v>500</v>
      </c>
      <c r="P79" s="213"/>
      <c r="S79" s="212"/>
    </row>
    <row r="80" spans="1:140" s="208" customFormat="1" ht="15" x14ac:dyDescent="0.2">
      <c r="A80" s="460"/>
      <c r="B80" s="481" t="s">
        <v>1540</v>
      </c>
      <c r="C80" s="461"/>
      <c r="D80" s="461"/>
      <c r="E80" s="461"/>
      <c r="F80" s="462">
        <f t="shared" si="25"/>
        <v>234</v>
      </c>
      <c r="G80" s="462">
        <f t="shared" si="24"/>
        <v>0</v>
      </c>
      <c r="H80" s="462"/>
      <c r="I80" s="462"/>
      <c r="J80" s="462"/>
      <c r="K80" s="462"/>
      <c r="L80" s="462"/>
      <c r="M80" s="462"/>
      <c r="N80" s="462"/>
      <c r="O80" s="462">
        <v>234</v>
      </c>
      <c r="P80" s="213"/>
      <c r="S80" s="212"/>
    </row>
    <row r="81" spans="1:19" s="208" customFormat="1" ht="15" x14ac:dyDescent="0.25">
      <c r="A81" s="469" t="s">
        <v>426</v>
      </c>
      <c r="B81" s="480" t="s">
        <v>1132</v>
      </c>
      <c r="C81" s="470"/>
      <c r="D81" s="470"/>
      <c r="E81" s="470"/>
      <c r="F81" s="471">
        <f>O81</f>
        <v>1523</v>
      </c>
      <c r="G81" s="471"/>
      <c r="H81" s="471"/>
      <c r="I81" s="471"/>
      <c r="J81" s="471"/>
      <c r="K81" s="471"/>
      <c r="L81" s="471"/>
      <c r="M81" s="471"/>
      <c r="N81" s="471"/>
      <c r="O81" s="470">
        <f>211+1312</f>
        <v>1523</v>
      </c>
      <c r="P81" s="450"/>
      <c r="S81" s="212"/>
    </row>
    <row r="82" spans="1:19" ht="15" x14ac:dyDescent="0.25">
      <c r="A82" s="469" t="s">
        <v>674</v>
      </c>
      <c r="B82" s="480" t="s">
        <v>1133</v>
      </c>
      <c r="C82" s="470">
        <f>D82+E82</f>
        <v>0</v>
      </c>
      <c r="D82" s="470"/>
      <c r="E82" s="470"/>
      <c r="F82" s="471">
        <f>G82+O82</f>
        <v>6679</v>
      </c>
      <c r="G82" s="471">
        <f>H82+I82+J82++L82+M82</f>
        <v>0</v>
      </c>
      <c r="H82" s="471"/>
      <c r="I82" s="471"/>
      <c r="J82" s="471"/>
      <c r="K82" s="471"/>
      <c r="L82" s="471"/>
      <c r="M82" s="471"/>
      <c r="N82" s="471"/>
      <c r="O82" s="470">
        <v>6679</v>
      </c>
      <c r="P82" s="451"/>
    </row>
    <row r="83" spans="1:19" ht="15" x14ac:dyDescent="0.25">
      <c r="A83" s="469" t="s">
        <v>1220</v>
      </c>
      <c r="B83" s="480" t="s">
        <v>672</v>
      </c>
      <c r="C83" s="470">
        <f>D83+E83</f>
        <v>0</v>
      </c>
      <c r="D83" s="470"/>
      <c r="E83" s="470"/>
      <c r="F83" s="471">
        <f>G83+O83</f>
        <v>14806.277281107999</v>
      </c>
      <c r="G83" s="471">
        <f>H83+I83+J83++L83+M83</f>
        <v>0</v>
      </c>
      <c r="H83" s="471"/>
      <c r="I83" s="471"/>
      <c r="J83" s="471"/>
      <c r="K83" s="471"/>
      <c r="L83" s="471"/>
      <c r="M83" s="471"/>
      <c r="N83" s="471"/>
      <c r="O83" s="482">
        <f>17431-'DT CHI NS XA 41'!C44</f>
        <v>14806.277281107999</v>
      </c>
      <c r="P83" s="451" t="e">
        <f>12249-#REF!</f>
        <v>#REF!</v>
      </c>
    </row>
    <row r="84" spans="1:19" ht="16.149999999999999" customHeight="1" x14ac:dyDescent="0.25">
      <c r="A84" s="21" t="s">
        <v>1280</v>
      </c>
      <c r="B84" s="219"/>
      <c r="O84" s="206"/>
    </row>
    <row r="85" spans="1:19" ht="16.149999999999999" customHeight="1" x14ac:dyDescent="0.25">
      <c r="A85" s="151"/>
      <c r="B85" s="98" t="s">
        <v>1734</v>
      </c>
      <c r="C85" s="206"/>
      <c r="D85" s="206"/>
      <c r="E85" s="206"/>
      <c r="O85" s="206"/>
    </row>
    <row r="86" spans="1:19" ht="16.149999999999999" customHeight="1" x14ac:dyDescent="0.25">
      <c r="A86" s="151"/>
      <c r="B86" s="98" t="s">
        <v>1134</v>
      </c>
      <c r="C86" s="206"/>
      <c r="D86" s="206"/>
      <c r="E86" s="206"/>
      <c r="O86" s="206"/>
    </row>
    <row r="87" spans="1:19" ht="16.149999999999999" customHeight="1" x14ac:dyDescent="0.25">
      <c r="A87" s="151"/>
      <c r="B87" s="98" t="s">
        <v>1135</v>
      </c>
      <c r="C87" s="98" t="s">
        <v>1206</v>
      </c>
    </row>
    <row r="88" spans="1:19" ht="16.149999999999999" customHeight="1" x14ac:dyDescent="0.25">
      <c r="A88" s="151"/>
    </row>
    <row r="89" spans="1:19" ht="16.149999999999999" customHeight="1" x14ac:dyDescent="0.25">
      <c r="A89" s="151"/>
    </row>
    <row r="90" spans="1:19" ht="16.149999999999999" customHeight="1" x14ac:dyDescent="0.25">
      <c r="A90" s="151"/>
    </row>
    <row r="91" spans="1:19" ht="16.149999999999999" customHeight="1" x14ac:dyDescent="0.25">
      <c r="A91" s="151"/>
    </row>
    <row r="92" spans="1:19" ht="16.149999999999999" customHeight="1" x14ac:dyDescent="0.25">
      <c r="A92" s="151"/>
    </row>
    <row r="93" spans="1:19" ht="16.149999999999999" customHeight="1" x14ac:dyDescent="0.25">
      <c r="A93" s="151"/>
    </row>
    <row r="94" spans="1:19" ht="16.149999999999999" customHeight="1" x14ac:dyDescent="0.25">
      <c r="A94" s="151"/>
    </row>
    <row r="95" spans="1:19" ht="16.149999999999999" customHeight="1" x14ac:dyDescent="0.25">
      <c r="A95" s="151"/>
    </row>
    <row r="96" spans="1:19" ht="16.149999999999999" customHeight="1" x14ac:dyDescent="0.25">
      <c r="A96" s="151"/>
      <c r="F96" s="98"/>
      <c r="G96" s="98"/>
      <c r="H96" s="98"/>
      <c r="I96" s="98"/>
      <c r="J96" s="98"/>
      <c r="K96" s="98"/>
      <c r="L96" s="98"/>
      <c r="M96" s="98"/>
      <c r="N96" s="98"/>
      <c r="S96" s="98"/>
    </row>
    <row r="97" spans="1:19" ht="16.149999999999999" customHeight="1" x14ac:dyDescent="0.25">
      <c r="A97" s="151"/>
      <c r="F97" s="98"/>
      <c r="G97" s="98"/>
      <c r="H97" s="98"/>
      <c r="I97" s="98"/>
      <c r="J97" s="98"/>
      <c r="K97" s="98"/>
      <c r="L97" s="98"/>
      <c r="M97" s="98"/>
      <c r="N97" s="98"/>
      <c r="S97" s="98"/>
    </row>
    <row r="98" spans="1:19" ht="16.149999999999999" customHeight="1" x14ac:dyDescent="0.25">
      <c r="A98" s="151"/>
      <c r="F98" s="98"/>
      <c r="G98" s="98"/>
      <c r="H98" s="98"/>
      <c r="I98" s="98"/>
      <c r="J98" s="98"/>
      <c r="K98" s="98"/>
      <c r="L98" s="98"/>
      <c r="M98" s="98"/>
      <c r="N98" s="98"/>
      <c r="S98" s="98"/>
    </row>
    <row r="99" spans="1:19" ht="16.149999999999999" customHeight="1" x14ac:dyDescent="0.25">
      <c r="A99" s="151"/>
      <c r="F99" s="98"/>
      <c r="G99" s="98"/>
      <c r="H99" s="98"/>
      <c r="I99" s="98"/>
      <c r="J99" s="98"/>
      <c r="K99" s="98"/>
      <c r="L99" s="98"/>
      <c r="M99" s="98"/>
      <c r="N99" s="98"/>
      <c r="S99" s="98"/>
    </row>
    <row r="100" spans="1:19" ht="16.149999999999999" customHeight="1" x14ac:dyDescent="0.25">
      <c r="A100" s="151"/>
      <c r="F100" s="98"/>
      <c r="G100" s="98"/>
      <c r="H100" s="98"/>
      <c r="I100" s="98"/>
      <c r="J100" s="98"/>
      <c r="K100" s="98"/>
      <c r="L100" s="98"/>
      <c r="M100" s="98"/>
      <c r="N100" s="98"/>
      <c r="S100" s="98"/>
    </row>
    <row r="101" spans="1:19" ht="16.149999999999999" customHeight="1" x14ac:dyDescent="0.25">
      <c r="A101" s="151"/>
      <c r="F101" s="98"/>
      <c r="G101" s="98"/>
      <c r="H101" s="98"/>
      <c r="I101" s="98"/>
      <c r="J101" s="98"/>
      <c r="K101" s="98"/>
      <c r="L101" s="98"/>
      <c r="M101" s="98"/>
      <c r="N101" s="98"/>
      <c r="S101" s="98"/>
    </row>
    <row r="102" spans="1:19" ht="16.149999999999999" customHeight="1" x14ac:dyDescent="0.25">
      <c r="A102" s="151"/>
      <c r="F102" s="98"/>
      <c r="G102" s="98"/>
      <c r="H102" s="98"/>
      <c r="I102" s="98"/>
      <c r="J102" s="98"/>
      <c r="K102" s="98"/>
      <c r="L102" s="98"/>
      <c r="M102" s="98"/>
      <c r="N102" s="98"/>
      <c r="S102" s="98"/>
    </row>
    <row r="103" spans="1:19" ht="16.149999999999999" customHeight="1" x14ac:dyDescent="0.25">
      <c r="A103" s="151"/>
      <c r="F103" s="98"/>
      <c r="G103" s="98"/>
      <c r="H103" s="98"/>
      <c r="I103" s="98"/>
      <c r="J103" s="98"/>
      <c r="K103" s="98"/>
      <c r="L103" s="98"/>
      <c r="M103" s="98"/>
      <c r="N103" s="98"/>
      <c r="S103" s="98"/>
    </row>
    <row r="104" spans="1:19" ht="16.149999999999999" customHeight="1" x14ac:dyDescent="0.25">
      <c r="A104" s="151"/>
      <c r="F104" s="98"/>
      <c r="G104" s="98"/>
      <c r="H104" s="98"/>
      <c r="I104" s="98"/>
      <c r="J104" s="98"/>
      <c r="K104" s="98"/>
      <c r="L104" s="98"/>
      <c r="M104" s="98"/>
      <c r="N104" s="98"/>
      <c r="S104" s="98"/>
    </row>
    <row r="105" spans="1:19" ht="16.149999999999999" customHeight="1" x14ac:dyDescent="0.25">
      <c r="A105" s="151"/>
      <c r="F105" s="98"/>
      <c r="G105" s="98"/>
      <c r="H105" s="98"/>
      <c r="I105" s="98"/>
      <c r="J105" s="98"/>
      <c r="K105" s="98"/>
      <c r="L105" s="98"/>
      <c r="M105" s="98"/>
      <c r="N105" s="98"/>
      <c r="S105" s="98"/>
    </row>
    <row r="106" spans="1:19" ht="16.149999999999999" customHeight="1" x14ac:dyDescent="0.25">
      <c r="A106" s="151"/>
      <c r="F106" s="98"/>
      <c r="G106" s="98"/>
      <c r="H106" s="98"/>
      <c r="I106" s="98"/>
      <c r="J106" s="98"/>
      <c r="K106" s="98"/>
      <c r="L106" s="98"/>
      <c r="M106" s="98"/>
      <c r="N106" s="98"/>
      <c r="S106" s="98"/>
    </row>
    <row r="107" spans="1:19" ht="16.149999999999999" customHeight="1" x14ac:dyDescent="0.25">
      <c r="A107" s="151"/>
      <c r="F107" s="98"/>
      <c r="G107" s="98"/>
      <c r="H107" s="98"/>
      <c r="I107" s="98"/>
      <c r="J107" s="98"/>
      <c r="K107" s="98"/>
      <c r="L107" s="98"/>
      <c r="M107" s="98"/>
      <c r="N107" s="98"/>
      <c r="S107" s="98"/>
    </row>
    <row r="108" spans="1:19" ht="16.149999999999999" customHeight="1" x14ac:dyDescent="0.25">
      <c r="A108" s="151"/>
      <c r="F108" s="98"/>
      <c r="G108" s="98"/>
      <c r="H108" s="98"/>
      <c r="I108" s="98"/>
      <c r="J108" s="98"/>
      <c r="K108" s="98"/>
      <c r="L108" s="98"/>
      <c r="M108" s="98"/>
      <c r="N108" s="98"/>
      <c r="S108" s="98"/>
    </row>
    <row r="109" spans="1:19" ht="16.149999999999999" customHeight="1" x14ac:dyDescent="0.25">
      <c r="A109" s="151"/>
      <c r="F109" s="98"/>
      <c r="G109" s="98"/>
      <c r="H109" s="98"/>
      <c r="I109" s="98"/>
      <c r="J109" s="98"/>
      <c r="K109" s="98"/>
      <c r="L109" s="98"/>
      <c r="M109" s="98"/>
      <c r="N109" s="98"/>
      <c r="S109" s="98"/>
    </row>
    <row r="110" spans="1:19" ht="16.149999999999999" customHeight="1" x14ac:dyDescent="0.25">
      <c r="A110" s="151"/>
      <c r="F110" s="98"/>
      <c r="G110" s="98"/>
      <c r="H110" s="98"/>
      <c r="I110" s="98"/>
      <c r="J110" s="98"/>
      <c r="K110" s="98"/>
      <c r="L110" s="98"/>
      <c r="M110" s="98"/>
      <c r="N110" s="98"/>
      <c r="S110" s="98"/>
    </row>
    <row r="111" spans="1:19" ht="16.149999999999999" customHeight="1" x14ac:dyDescent="0.25">
      <c r="A111" s="151"/>
      <c r="F111" s="98"/>
      <c r="G111" s="98"/>
      <c r="H111" s="98"/>
      <c r="I111" s="98"/>
      <c r="J111" s="98"/>
      <c r="K111" s="98"/>
      <c r="L111" s="98"/>
      <c r="M111" s="98"/>
      <c r="N111" s="98"/>
      <c r="S111" s="98"/>
    </row>
    <row r="112" spans="1:19" ht="16.149999999999999" customHeight="1" x14ac:dyDescent="0.25">
      <c r="A112" s="151"/>
      <c r="F112" s="98"/>
      <c r="G112" s="98"/>
      <c r="H112" s="98"/>
      <c r="I112" s="98"/>
      <c r="J112" s="98"/>
      <c r="K112" s="98"/>
      <c r="L112" s="98"/>
      <c r="M112" s="98"/>
      <c r="N112" s="98"/>
      <c r="S112" s="98"/>
    </row>
    <row r="113" spans="1:19" ht="16.149999999999999" customHeight="1" x14ac:dyDescent="0.25">
      <c r="A113" s="151"/>
      <c r="F113" s="98"/>
      <c r="G113" s="98"/>
      <c r="H113" s="98"/>
      <c r="I113" s="98"/>
      <c r="J113" s="98"/>
      <c r="K113" s="98"/>
      <c r="L113" s="98"/>
      <c r="M113" s="98"/>
      <c r="N113" s="98"/>
      <c r="S113" s="98"/>
    </row>
    <row r="114" spans="1:19" ht="16.149999999999999" customHeight="1" x14ac:dyDescent="0.25">
      <c r="A114" s="151"/>
      <c r="F114" s="98"/>
      <c r="G114" s="98"/>
      <c r="H114" s="98"/>
      <c r="I114" s="98"/>
      <c r="J114" s="98"/>
      <c r="K114" s="98"/>
      <c r="L114" s="98"/>
      <c r="M114" s="98"/>
      <c r="N114" s="98"/>
      <c r="S114" s="98"/>
    </row>
    <row r="115" spans="1:19" ht="16.149999999999999" customHeight="1" x14ac:dyDescent="0.25">
      <c r="A115" s="151"/>
      <c r="F115" s="98"/>
      <c r="G115" s="98"/>
      <c r="H115" s="98"/>
      <c r="I115" s="98"/>
      <c r="J115" s="98"/>
      <c r="K115" s="98"/>
      <c r="L115" s="98"/>
      <c r="M115" s="98"/>
      <c r="N115" s="98"/>
      <c r="S115" s="98"/>
    </row>
    <row r="116" spans="1:19" ht="16.149999999999999" customHeight="1" x14ac:dyDescent="0.25">
      <c r="A116" s="151"/>
      <c r="F116" s="98"/>
      <c r="G116" s="98"/>
      <c r="H116" s="98"/>
      <c r="I116" s="98"/>
      <c r="J116" s="98"/>
      <c r="K116" s="98"/>
      <c r="L116" s="98"/>
      <c r="M116" s="98"/>
      <c r="N116" s="98"/>
      <c r="S116" s="98"/>
    </row>
    <row r="117" spans="1:19" ht="16.149999999999999" customHeight="1" x14ac:dyDescent="0.25">
      <c r="A117" s="151"/>
      <c r="F117" s="98"/>
      <c r="G117" s="98"/>
      <c r="H117" s="98"/>
      <c r="I117" s="98"/>
      <c r="J117" s="98"/>
      <c r="K117" s="98"/>
      <c r="L117" s="98"/>
      <c r="M117" s="98"/>
      <c r="N117" s="98"/>
      <c r="S117" s="98"/>
    </row>
    <row r="118" spans="1:19" ht="16.149999999999999" customHeight="1" x14ac:dyDescent="0.25">
      <c r="A118" s="151"/>
      <c r="F118" s="98"/>
      <c r="G118" s="98"/>
      <c r="H118" s="98"/>
      <c r="I118" s="98"/>
      <c r="J118" s="98"/>
      <c r="K118" s="98"/>
      <c r="L118" s="98"/>
      <c r="M118" s="98"/>
      <c r="N118" s="98"/>
      <c r="S118" s="98"/>
    </row>
    <row r="119" spans="1:19" ht="16.149999999999999" customHeight="1" x14ac:dyDescent="0.25">
      <c r="A119" s="151"/>
      <c r="F119" s="98"/>
      <c r="G119" s="98"/>
      <c r="H119" s="98"/>
      <c r="I119" s="98"/>
      <c r="J119" s="98"/>
      <c r="K119" s="98"/>
      <c r="L119" s="98"/>
      <c r="M119" s="98"/>
      <c r="N119" s="98"/>
      <c r="S119" s="98"/>
    </row>
    <row r="120" spans="1:19" ht="16.149999999999999" customHeight="1" x14ac:dyDescent="0.25">
      <c r="A120" s="151"/>
      <c r="F120" s="98"/>
      <c r="G120" s="98"/>
      <c r="H120" s="98"/>
      <c r="I120" s="98"/>
      <c r="J120" s="98"/>
      <c r="K120" s="98"/>
      <c r="L120" s="98"/>
      <c r="M120" s="98"/>
      <c r="N120" s="98"/>
      <c r="S120" s="98"/>
    </row>
    <row r="121" spans="1:19" ht="16.149999999999999" customHeight="1" x14ac:dyDescent="0.25">
      <c r="A121" s="151"/>
      <c r="F121" s="98"/>
      <c r="G121" s="98"/>
      <c r="H121" s="98"/>
      <c r="I121" s="98"/>
      <c r="J121" s="98"/>
      <c r="K121" s="98"/>
      <c r="L121" s="98"/>
      <c r="M121" s="98"/>
      <c r="N121" s="98"/>
      <c r="S121" s="98"/>
    </row>
    <row r="122" spans="1:19" ht="16.149999999999999" customHeight="1" x14ac:dyDescent="0.25">
      <c r="A122" s="151"/>
      <c r="F122" s="98"/>
      <c r="G122" s="98"/>
      <c r="H122" s="98"/>
      <c r="I122" s="98"/>
      <c r="J122" s="98"/>
      <c r="K122" s="98"/>
      <c r="L122" s="98"/>
      <c r="M122" s="98"/>
      <c r="N122" s="98"/>
      <c r="S122" s="98"/>
    </row>
    <row r="123" spans="1:19" ht="16.149999999999999" customHeight="1" x14ac:dyDescent="0.25">
      <c r="A123" s="151"/>
      <c r="F123" s="98"/>
      <c r="G123" s="98"/>
      <c r="H123" s="98"/>
      <c r="I123" s="98"/>
      <c r="J123" s="98"/>
      <c r="K123" s="98"/>
      <c r="L123" s="98"/>
      <c r="M123" s="98"/>
      <c r="N123" s="98"/>
      <c r="S123" s="98"/>
    </row>
    <row r="124" spans="1:19" ht="16.149999999999999" customHeight="1" x14ac:dyDescent="0.25">
      <c r="A124" s="151"/>
      <c r="F124" s="98"/>
      <c r="G124" s="98"/>
      <c r="H124" s="98"/>
      <c r="I124" s="98"/>
      <c r="J124" s="98"/>
      <c r="K124" s="98"/>
      <c r="L124" s="98"/>
      <c r="M124" s="98"/>
      <c r="N124" s="98"/>
      <c r="S124" s="98"/>
    </row>
    <row r="125" spans="1:19" ht="16.149999999999999" customHeight="1" x14ac:dyDescent="0.25">
      <c r="A125" s="151"/>
      <c r="F125" s="98"/>
      <c r="G125" s="98"/>
      <c r="H125" s="98"/>
      <c r="I125" s="98"/>
      <c r="J125" s="98"/>
      <c r="K125" s="98"/>
      <c r="L125" s="98"/>
      <c r="M125" s="98"/>
      <c r="N125" s="98"/>
      <c r="S125" s="98"/>
    </row>
    <row r="126" spans="1:19" ht="16.149999999999999" customHeight="1" x14ac:dyDescent="0.25">
      <c r="A126" s="151"/>
      <c r="F126" s="98"/>
      <c r="G126" s="98"/>
      <c r="H126" s="98"/>
      <c r="I126" s="98"/>
      <c r="J126" s="98"/>
      <c r="K126" s="98"/>
      <c r="L126" s="98"/>
      <c r="M126" s="98"/>
      <c r="N126" s="98"/>
      <c r="S126" s="98"/>
    </row>
    <row r="127" spans="1:19" ht="16.149999999999999" customHeight="1" x14ac:dyDescent="0.25">
      <c r="A127" s="151"/>
      <c r="F127" s="98"/>
      <c r="G127" s="98"/>
      <c r="H127" s="98"/>
      <c r="I127" s="98"/>
      <c r="J127" s="98"/>
      <c r="K127" s="98"/>
      <c r="L127" s="98"/>
      <c r="M127" s="98"/>
      <c r="N127" s="98"/>
      <c r="S127" s="98"/>
    </row>
    <row r="128" spans="1:19" ht="16.149999999999999" customHeight="1" x14ac:dyDescent="0.25">
      <c r="A128" s="151"/>
      <c r="F128" s="98"/>
      <c r="G128" s="98"/>
      <c r="H128" s="98"/>
      <c r="I128" s="98"/>
      <c r="J128" s="98"/>
      <c r="K128" s="98"/>
      <c r="L128" s="98"/>
      <c r="M128" s="98"/>
      <c r="N128" s="98"/>
      <c r="S128" s="98"/>
    </row>
    <row r="129" spans="1:19" ht="16.149999999999999" customHeight="1" x14ac:dyDescent="0.25">
      <c r="A129" s="151"/>
      <c r="F129" s="98"/>
      <c r="G129" s="98"/>
      <c r="H129" s="98"/>
      <c r="I129" s="98"/>
      <c r="J129" s="98"/>
      <c r="K129" s="98"/>
      <c r="L129" s="98"/>
      <c r="M129" s="98"/>
      <c r="N129" s="98"/>
      <c r="S129" s="98"/>
    </row>
    <row r="130" spans="1:19" ht="16.149999999999999" customHeight="1" x14ac:dyDescent="0.25">
      <c r="A130" s="151"/>
      <c r="F130" s="98"/>
      <c r="G130" s="98"/>
      <c r="H130" s="98"/>
      <c r="I130" s="98"/>
      <c r="J130" s="98"/>
      <c r="K130" s="98"/>
      <c r="L130" s="98"/>
      <c r="M130" s="98"/>
      <c r="N130" s="98"/>
      <c r="S130" s="98"/>
    </row>
    <row r="131" spans="1:19" ht="16.149999999999999" customHeight="1" x14ac:dyDescent="0.25">
      <c r="A131" s="151"/>
      <c r="F131" s="98"/>
      <c r="G131" s="98"/>
      <c r="H131" s="98"/>
      <c r="I131" s="98"/>
      <c r="J131" s="98"/>
      <c r="K131" s="98"/>
      <c r="L131" s="98"/>
      <c r="M131" s="98"/>
      <c r="N131" s="98"/>
      <c r="S131" s="98"/>
    </row>
    <row r="132" spans="1:19" ht="16.149999999999999" customHeight="1" x14ac:dyDescent="0.25">
      <c r="A132" s="151"/>
      <c r="F132" s="98"/>
      <c r="G132" s="98"/>
      <c r="H132" s="98"/>
      <c r="I132" s="98"/>
      <c r="J132" s="98"/>
      <c r="K132" s="98"/>
      <c r="L132" s="98"/>
      <c r="M132" s="98"/>
      <c r="N132" s="98"/>
      <c r="S132" s="98"/>
    </row>
    <row r="133" spans="1:19" ht="16.149999999999999" customHeight="1" x14ac:dyDescent="0.25">
      <c r="A133" s="151"/>
      <c r="F133" s="98"/>
      <c r="G133" s="98"/>
      <c r="H133" s="98"/>
      <c r="I133" s="98"/>
      <c r="J133" s="98"/>
      <c r="K133" s="98"/>
      <c r="L133" s="98"/>
      <c r="M133" s="98"/>
      <c r="N133" s="98"/>
      <c r="S133" s="98"/>
    </row>
    <row r="134" spans="1:19" ht="16.149999999999999" customHeight="1" x14ac:dyDescent="0.25">
      <c r="A134" s="151"/>
      <c r="F134" s="98"/>
      <c r="G134" s="98"/>
      <c r="H134" s="98"/>
      <c r="I134" s="98"/>
      <c r="J134" s="98"/>
      <c r="K134" s="98"/>
      <c r="L134" s="98"/>
      <c r="M134" s="98"/>
      <c r="N134" s="98"/>
      <c r="S134" s="98"/>
    </row>
    <row r="135" spans="1:19" ht="16.149999999999999" customHeight="1" x14ac:dyDescent="0.25">
      <c r="A135" s="151"/>
      <c r="F135" s="98"/>
      <c r="G135" s="98"/>
      <c r="H135" s="98"/>
      <c r="I135" s="98"/>
      <c r="J135" s="98"/>
      <c r="K135" s="98"/>
      <c r="L135" s="98"/>
      <c r="M135" s="98"/>
      <c r="N135" s="98"/>
      <c r="S135" s="98"/>
    </row>
    <row r="136" spans="1:19" ht="16.149999999999999" customHeight="1" x14ac:dyDescent="0.25">
      <c r="A136" s="151"/>
      <c r="F136" s="98"/>
      <c r="G136" s="98"/>
      <c r="H136" s="98"/>
      <c r="I136" s="98"/>
      <c r="J136" s="98"/>
      <c r="K136" s="98"/>
      <c r="L136" s="98"/>
      <c r="M136" s="98"/>
      <c r="N136" s="98"/>
      <c r="S136" s="98"/>
    </row>
    <row r="137" spans="1:19" ht="16.149999999999999" customHeight="1" x14ac:dyDescent="0.25">
      <c r="A137" s="151"/>
      <c r="F137" s="98"/>
      <c r="G137" s="98"/>
      <c r="H137" s="98"/>
      <c r="I137" s="98"/>
      <c r="J137" s="98"/>
      <c r="K137" s="98"/>
      <c r="L137" s="98"/>
      <c r="M137" s="98"/>
      <c r="N137" s="98"/>
      <c r="S137" s="98"/>
    </row>
    <row r="138" spans="1:19" ht="16.149999999999999" customHeight="1" x14ac:dyDescent="0.25">
      <c r="A138" s="151"/>
      <c r="F138" s="98"/>
      <c r="G138" s="98"/>
      <c r="H138" s="98"/>
      <c r="I138" s="98"/>
      <c r="J138" s="98"/>
      <c r="K138" s="98"/>
      <c r="L138" s="98"/>
      <c r="M138" s="98"/>
      <c r="N138" s="98"/>
      <c r="S138" s="98"/>
    </row>
    <row r="139" spans="1:19" ht="16.149999999999999" customHeight="1" x14ac:dyDescent="0.25">
      <c r="A139" s="151"/>
      <c r="F139" s="98"/>
      <c r="G139" s="98"/>
      <c r="H139" s="98"/>
      <c r="I139" s="98"/>
      <c r="J139" s="98"/>
      <c r="K139" s="98"/>
      <c r="L139" s="98"/>
      <c r="M139" s="98"/>
      <c r="N139" s="98"/>
      <c r="S139" s="98"/>
    </row>
    <row r="140" spans="1:19" ht="16.149999999999999" customHeight="1" x14ac:dyDescent="0.25">
      <c r="A140" s="151"/>
      <c r="F140" s="98"/>
      <c r="G140" s="98"/>
      <c r="H140" s="98"/>
      <c r="I140" s="98"/>
      <c r="J140" s="98"/>
      <c r="K140" s="98"/>
      <c r="L140" s="98"/>
      <c r="M140" s="98"/>
      <c r="N140" s="98"/>
      <c r="S140" s="98"/>
    </row>
    <row r="141" spans="1:19" ht="16.149999999999999" customHeight="1" x14ac:dyDescent="0.25">
      <c r="A141" s="151"/>
      <c r="F141" s="98"/>
      <c r="G141" s="98"/>
      <c r="H141" s="98"/>
      <c r="I141" s="98"/>
      <c r="J141" s="98"/>
      <c r="K141" s="98"/>
      <c r="L141" s="98"/>
      <c r="M141" s="98"/>
      <c r="N141" s="98"/>
      <c r="S141" s="98"/>
    </row>
    <row r="142" spans="1:19" ht="16.149999999999999" customHeight="1" x14ac:dyDescent="0.25">
      <c r="A142" s="151"/>
      <c r="F142" s="98"/>
      <c r="G142" s="98"/>
      <c r="H142" s="98"/>
      <c r="I142" s="98"/>
      <c r="J142" s="98"/>
      <c r="K142" s="98"/>
      <c r="L142" s="98"/>
      <c r="M142" s="98"/>
      <c r="N142" s="98"/>
      <c r="S142" s="98"/>
    </row>
    <row r="143" spans="1:19" ht="16.149999999999999" customHeight="1" x14ac:dyDescent="0.25">
      <c r="A143" s="151"/>
      <c r="F143" s="98"/>
      <c r="G143" s="98"/>
      <c r="H143" s="98"/>
      <c r="I143" s="98"/>
      <c r="J143" s="98"/>
      <c r="K143" s="98"/>
      <c r="L143" s="98"/>
      <c r="M143" s="98"/>
      <c r="N143" s="98"/>
      <c r="S143" s="98"/>
    </row>
    <row r="144" spans="1:19" ht="16.149999999999999" customHeight="1" x14ac:dyDescent="0.25">
      <c r="A144" s="151"/>
      <c r="F144" s="98"/>
      <c r="G144" s="98"/>
      <c r="H144" s="98"/>
      <c r="I144" s="98"/>
      <c r="J144" s="98"/>
      <c r="K144" s="98"/>
      <c r="L144" s="98"/>
      <c r="M144" s="98"/>
      <c r="N144" s="98"/>
      <c r="S144" s="98"/>
    </row>
    <row r="145" spans="1:19" ht="16.149999999999999" customHeight="1" x14ac:dyDescent="0.25">
      <c r="A145" s="151"/>
      <c r="F145" s="98"/>
      <c r="G145" s="98"/>
      <c r="H145" s="98"/>
      <c r="I145" s="98"/>
      <c r="J145" s="98"/>
      <c r="K145" s="98"/>
      <c r="L145" s="98"/>
      <c r="M145" s="98"/>
      <c r="N145" s="98"/>
      <c r="S145" s="98"/>
    </row>
    <row r="146" spans="1:19" ht="16.149999999999999" customHeight="1" x14ac:dyDescent="0.25">
      <c r="A146" s="151"/>
      <c r="F146" s="98"/>
      <c r="G146" s="98"/>
      <c r="H146" s="98"/>
      <c r="I146" s="98"/>
      <c r="J146" s="98"/>
      <c r="K146" s="98"/>
      <c r="L146" s="98"/>
      <c r="M146" s="98"/>
      <c r="N146" s="98"/>
      <c r="S146" s="98"/>
    </row>
    <row r="147" spans="1:19" ht="16.149999999999999" customHeight="1" x14ac:dyDescent="0.25">
      <c r="A147" s="151"/>
      <c r="F147" s="98"/>
      <c r="G147" s="98"/>
      <c r="H147" s="98"/>
      <c r="I147" s="98"/>
      <c r="J147" s="98"/>
      <c r="K147" s="98"/>
      <c r="L147" s="98"/>
      <c r="M147" s="98"/>
      <c r="N147" s="98"/>
      <c r="S147" s="98"/>
    </row>
    <row r="148" spans="1:19" ht="16.149999999999999" customHeight="1" x14ac:dyDescent="0.25">
      <c r="A148" s="151"/>
      <c r="F148" s="98"/>
      <c r="G148" s="98"/>
      <c r="H148" s="98"/>
      <c r="I148" s="98"/>
      <c r="J148" s="98"/>
      <c r="K148" s="98"/>
      <c r="L148" s="98"/>
      <c r="M148" s="98"/>
      <c r="N148" s="98"/>
      <c r="S148" s="98"/>
    </row>
    <row r="149" spans="1:19" ht="16.149999999999999" customHeight="1" x14ac:dyDescent="0.25">
      <c r="A149" s="151"/>
      <c r="F149" s="98"/>
      <c r="G149" s="98"/>
      <c r="H149" s="98"/>
      <c r="I149" s="98"/>
      <c r="J149" s="98"/>
      <c r="K149" s="98"/>
      <c r="L149" s="98"/>
      <c r="M149" s="98"/>
      <c r="N149" s="98"/>
      <c r="S149" s="98"/>
    </row>
    <row r="150" spans="1:19" ht="16.149999999999999" customHeight="1" x14ac:dyDescent="0.25">
      <c r="A150" s="151"/>
      <c r="F150" s="98"/>
      <c r="G150" s="98"/>
      <c r="H150" s="98"/>
      <c r="I150" s="98"/>
      <c r="J150" s="98"/>
      <c r="K150" s="98"/>
      <c r="L150" s="98"/>
      <c r="M150" s="98"/>
      <c r="N150" s="98"/>
      <c r="S150" s="98"/>
    </row>
    <row r="151" spans="1:19" ht="16.149999999999999" customHeight="1" x14ac:dyDescent="0.25">
      <c r="A151" s="151"/>
      <c r="F151" s="98"/>
      <c r="G151" s="98"/>
      <c r="H151" s="98"/>
      <c r="I151" s="98"/>
      <c r="J151" s="98"/>
      <c r="K151" s="98"/>
      <c r="L151" s="98"/>
      <c r="M151" s="98"/>
      <c r="N151" s="98"/>
      <c r="S151" s="98"/>
    </row>
    <row r="152" spans="1:19" ht="16.149999999999999" customHeight="1" x14ac:dyDescent="0.25">
      <c r="A152" s="151"/>
      <c r="F152" s="98"/>
      <c r="G152" s="98"/>
      <c r="H152" s="98"/>
      <c r="I152" s="98"/>
      <c r="J152" s="98"/>
      <c r="K152" s="98"/>
      <c r="L152" s="98"/>
      <c r="M152" s="98"/>
      <c r="N152" s="98"/>
      <c r="S152" s="98"/>
    </row>
    <row r="153" spans="1:19" ht="16.149999999999999" customHeight="1" x14ac:dyDescent="0.25">
      <c r="A153" s="151"/>
      <c r="F153" s="98"/>
      <c r="G153" s="98"/>
      <c r="H153" s="98"/>
      <c r="I153" s="98"/>
      <c r="J153" s="98"/>
      <c r="K153" s="98"/>
      <c r="L153" s="98"/>
      <c r="M153" s="98"/>
      <c r="N153" s="98"/>
      <c r="S153" s="98"/>
    </row>
    <row r="154" spans="1:19" ht="16.149999999999999" customHeight="1" x14ac:dyDescent="0.25">
      <c r="A154" s="151"/>
      <c r="F154" s="98"/>
      <c r="G154" s="98"/>
      <c r="H154" s="98"/>
      <c r="I154" s="98"/>
      <c r="J154" s="98"/>
      <c r="K154" s="98"/>
      <c r="L154" s="98"/>
      <c r="M154" s="98"/>
      <c r="N154" s="98"/>
      <c r="S154" s="98"/>
    </row>
    <row r="155" spans="1:19" ht="16.149999999999999" customHeight="1" x14ac:dyDescent="0.25">
      <c r="A155" s="151"/>
      <c r="F155" s="98"/>
      <c r="G155" s="98"/>
      <c r="H155" s="98"/>
      <c r="I155" s="98"/>
      <c r="J155" s="98"/>
      <c r="K155" s="98"/>
      <c r="L155" s="98"/>
      <c r="M155" s="98"/>
      <c r="N155" s="98"/>
      <c r="S155" s="98"/>
    </row>
    <row r="156" spans="1:19" ht="16.149999999999999" customHeight="1" x14ac:dyDescent="0.25">
      <c r="A156" s="151"/>
      <c r="F156" s="98"/>
      <c r="G156" s="98"/>
      <c r="H156" s="98"/>
      <c r="I156" s="98"/>
      <c r="J156" s="98"/>
      <c r="K156" s="98"/>
      <c r="L156" s="98"/>
      <c r="M156" s="98"/>
      <c r="N156" s="98"/>
      <c r="S156" s="98"/>
    </row>
    <row r="157" spans="1:19" ht="16.149999999999999" customHeight="1" x14ac:dyDescent="0.25">
      <c r="A157" s="151"/>
      <c r="F157" s="98"/>
      <c r="G157" s="98"/>
      <c r="H157" s="98"/>
      <c r="I157" s="98"/>
      <c r="J157" s="98"/>
      <c r="K157" s="98"/>
      <c r="L157" s="98"/>
      <c r="M157" s="98"/>
      <c r="N157" s="98"/>
      <c r="S157" s="98"/>
    </row>
    <row r="158" spans="1:19" ht="16.149999999999999" customHeight="1" x14ac:dyDescent="0.25">
      <c r="A158" s="151"/>
      <c r="F158" s="98"/>
      <c r="G158" s="98"/>
      <c r="H158" s="98"/>
      <c r="I158" s="98"/>
      <c r="J158" s="98"/>
      <c r="K158" s="98"/>
      <c r="L158" s="98"/>
      <c r="M158" s="98"/>
      <c r="N158" s="98"/>
      <c r="S158" s="98"/>
    </row>
    <row r="159" spans="1:19" ht="16.149999999999999" customHeight="1" x14ac:dyDescent="0.25">
      <c r="A159" s="151"/>
      <c r="F159" s="98"/>
      <c r="G159" s="98"/>
      <c r="H159" s="98"/>
      <c r="I159" s="98"/>
      <c r="J159" s="98"/>
      <c r="K159" s="98"/>
      <c r="L159" s="98"/>
      <c r="M159" s="98"/>
      <c r="N159" s="98"/>
      <c r="S159" s="98"/>
    </row>
    <row r="160" spans="1:19" ht="16.149999999999999" customHeight="1" x14ac:dyDescent="0.25">
      <c r="A160" s="151"/>
      <c r="F160" s="98"/>
      <c r="G160" s="98"/>
      <c r="H160" s="98"/>
      <c r="I160" s="98"/>
      <c r="J160" s="98"/>
      <c r="K160" s="98"/>
      <c r="L160" s="98"/>
      <c r="M160" s="98"/>
      <c r="N160" s="98"/>
      <c r="S160" s="98"/>
    </row>
    <row r="161" spans="1:19" ht="16.149999999999999" customHeight="1" x14ac:dyDescent="0.25">
      <c r="A161" s="151"/>
      <c r="F161" s="98"/>
      <c r="G161" s="98"/>
      <c r="H161" s="98"/>
      <c r="I161" s="98"/>
      <c r="J161" s="98"/>
      <c r="K161" s="98"/>
      <c r="L161" s="98"/>
      <c r="M161" s="98"/>
      <c r="N161" s="98"/>
      <c r="S161" s="98"/>
    </row>
    <row r="162" spans="1:19" ht="16.149999999999999" customHeight="1" x14ac:dyDescent="0.25">
      <c r="A162" s="151"/>
      <c r="F162" s="98"/>
      <c r="G162" s="98"/>
      <c r="H162" s="98"/>
      <c r="I162" s="98"/>
      <c r="J162" s="98"/>
      <c r="K162" s="98"/>
      <c r="L162" s="98"/>
      <c r="M162" s="98"/>
      <c r="N162" s="98"/>
      <c r="S162" s="98"/>
    </row>
    <row r="163" spans="1:19" ht="16.149999999999999" customHeight="1" x14ac:dyDescent="0.25">
      <c r="A163" s="151"/>
      <c r="F163" s="98"/>
      <c r="G163" s="98"/>
      <c r="H163" s="98"/>
      <c r="I163" s="98"/>
      <c r="J163" s="98"/>
      <c r="K163" s="98"/>
      <c r="L163" s="98"/>
      <c r="M163" s="98"/>
      <c r="N163" s="98"/>
      <c r="S163" s="98"/>
    </row>
    <row r="164" spans="1:19" ht="16.149999999999999" customHeight="1" x14ac:dyDescent="0.25">
      <c r="A164" s="151"/>
      <c r="F164" s="98"/>
      <c r="G164" s="98"/>
      <c r="H164" s="98"/>
      <c r="I164" s="98"/>
      <c r="J164" s="98"/>
      <c r="K164" s="98"/>
      <c r="L164" s="98"/>
      <c r="M164" s="98"/>
      <c r="N164" s="98"/>
      <c r="S164" s="98"/>
    </row>
    <row r="165" spans="1:19" ht="16.149999999999999" customHeight="1" x14ac:dyDescent="0.25">
      <c r="A165" s="151"/>
      <c r="F165" s="98"/>
      <c r="G165" s="98"/>
      <c r="H165" s="98"/>
      <c r="I165" s="98"/>
      <c r="J165" s="98"/>
      <c r="K165" s="98"/>
      <c r="L165" s="98"/>
      <c r="M165" s="98"/>
      <c r="N165" s="98"/>
      <c r="S165" s="98"/>
    </row>
    <row r="166" spans="1:19" ht="16.149999999999999" customHeight="1" x14ac:dyDescent="0.25">
      <c r="A166" s="151"/>
      <c r="F166" s="98"/>
      <c r="G166" s="98"/>
      <c r="H166" s="98"/>
      <c r="I166" s="98"/>
      <c r="J166" s="98"/>
      <c r="K166" s="98"/>
      <c r="L166" s="98"/>
      <c r="M166" s="98"/>
      <c r="N166" s="98"/>
      <c r="S166" s="98"/>
    </row>
    <row r="167" spans="1:19" ht="16.149999999999999" customHeight="1" x14ac:dyDescent="0.25">
      <c r="A167" s="151"/>
      <c r="F167" s="98"/>
      <c r="G167" s="98"/>
      <c r="H167" s="98"/>
      <c r="I167" s="98"/>
      <c r="J167" s="98"/>
      <c r="K167" s="98"/>
      <c r="L167" s="98"/>
      <c r="M167" s="98"/>
      <c r="N167" s="98"/>
      <c r="S167" s="98"/>
    </row>
    <row r="168" spans="1:19" ht="16.149999999999999" customHeight="1" x14ac:dyDescent="0.25">
      <c r="A168" s="151"/>
      <c r="F168" s="98"/>
      <c r="G168" s="98"/>
      <c r="H168" s="98"/>
      <c r="I168" s="98"/>
      <c r="J168" s="98"/>
      <c r="K168" s="98"/>
      <c r="L168" s="98"/>
      <c r="M168" s="98"/>
      <c r="N168" s="98"/>
      <c r="S168" s="98"/>
    </row>
    <row r="169" spans="1:19" ht="16.149999999999999" customHeight="1" x14ac:dyDescent="0.25">
      <c r="A169" s="151"/>
      <c r="F169" s="98"/>
      <c r="G169" s="98"/>
      <c r="H169" s="98"/>
      <c r="I169" s="98"/>
      <c r="J169" s="98"/>
      <c r="K169" s="98"/>
      <c r="L169" s="98"/>
      <c r="M169" s="98"/>
      <c r="N169" s="98"/>
      <c r="S169" s="98"/>
    </row>
    <row r="170" spans="1:19" ht="16.149999999999999" customHeight="1" x14ac:dyDescent="0.25">
      <c r="F170" s="98"/>
      <c r="G170" s="98"/>
      <c r="H170" s="98"/>
      <c r="I170" s="98"/>
      <c r="J170" s="98"/>
      <c r="K170" s="98"/>
      <c r="L170" s="98"/>
      <c r="M170" s="98"/>
      <c r="N170" s="98"/>
      <c r="S170" s="98"/>
    </row>
  </sheetData>
  <mergeCells count="26">
    <mergeCell ref="H7:O7"/>
    <mergeCell ref="A6:O6"/>
    <mergeCell ref="A5:O5"/>
    <mergeCell ref="A4:O4"/>
    <mergeCell ref="M1:O1"/>
    <mergeCell ref="A2:O2"/>
    <mergeCell ref="A3:O3"/>
    <mergeCell ref="C8:E8"/>
    <mergeCell ref="F8:O8"/>
    <mergeCell ref="A8:A15"/>
    <mergeCell ref="B8:B15"/>
    <mergeCell ref="K11:K15"/>
    <mergeCell ref="C9:C15"/>
    <mergeCell ref="D9:D15"/>
    <mergeCell ref="E9:E15"/>
    <mergeCell ref="F9:F15"/>
    <mergeCell ref="O9:O15"/>
    <mergeCell ref="M11:M15"/>
    <mergeCell ref="N11:N15"/>
    <mergeCell ref="G9:N9"/>
    <mergeCell ref="G10:G15"/>
    <mergeCell ref="H11:H15"/>
    <mergeCell ref="I11:I15"/>
    <mergeCell ref="J11:J15"/>
    <mergeCell ref="L11:L15"/>
    <mergeCell ref="H10:N10"/>
  </mergeCells>
  <printOptions horizontalCentered="1"/>
  <pageMargins left="0.25" right="0.25" top="0.34" bottom="0.55000000000000004" header="0.27" footer="0.2"/>
  <pageSetup paperSize="9" scale="80" orientation="landscape" verticalDpi="0" r:id="rId1"/>
  <headerFooter>
    <oddFooter>&amp;F&amp;RPage &amp;P</oddFooter>
  </headerFooter>
  <legacy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0000"/>
  </sheetPr>
  <dimension ref="A1:R11"/>
  <sheetViews>
    <sheetView workbookViewId="0">
      <selection activeCell="C10" sqref="C10"/>
    </sheetView>
  </sheetViews>
  <sheetFormatPr defaultRowHeight="15" x14ac:dyDescent="0.25"/>
  <cols>
    <col min="1" max="1" width="6.28515625" customWidth="1"/>
    <col min="2" max="2" width="34" customWidth="1"/>
  </cols>
  <sheetData>
    <row r="1" spans="1:18" ht="15.75" x14ac:dyDescent="0.25">
      <c r="R1" s="25" t="s">
        <v>675</v>
      </c>
    </row>
    <row r="2" spans="1:18" ht="15.75" x14ac:dyDescent="0.25">
      <c r="A2" s="551" t="s">
        <v>676</v>
      </c>
      <c r="B2" s="551"/>
      <c r="C2" s="551"/>
      <c r="D2" s="551"/>
      <c r="E2" s="551"/>
      <c r="F2" s="551"/>
      <c r="G2" s="551"/>
      <c r="H2" s="551"/>
      <c r="I2" s="551"/>
      <c r="J2" s="551"/>
      <c r="K2" s="551"/>
      <c r="L2" s="551"/>
      <c r="M2" s="551"/>
      <c r="N2" s="551"/>
      <c r="O2" s="551"/>
      <c r="P2" s="551"/>
      <c r="Q2" s="551"/>
      <c r="R2" s="551"/>
    </row>
    <row r="3" spans="1:18" ht="15.75" x14ac:dyDescent="0.25">
      <c r="A3" s="551" t="s">
        <v>126</v>
      </c>
      <c r="B3" s="551"/>
      <c r="C3" s="551"/>
      <c r="D3" s="551"/>
      <c r="E3" s="551"/>
      <c r="F3" s="551"/>
      <c r="G3" s="551"/>
      <c r="H3" s="551"/>
      <c r="I3" s="551"/>
      <c r="J3" s="551"/>
      <c r="K3" s="551"/>
      <c r="L3" s="551"/>
      <c r="M3" s="551"/>
      <c r="N3" s="551"/>
      <c r="O3" s="551"/>
      <c r="P3" s="551"/>
      <c r="Q3" s="551"/>
      <c r="R3" s="551"/>
    </row>
    <row r="4" spans="1:18" ht="15.75" x14ac:dyDescent="0.25">
      <c r="R4" s="26" t="s">
        <v>56</v>
      </c>
    </row>
    <row r="5" spans="1:18" ht="15.75" x14ac:dyDescent="0.25">
      <c r="A5" s="595" t="s">
        <v>3</v>
      </c>
      <c r="B5" s="595" t="s">
        <v>161</v>
      </c>
      <c r="C5" s="595" t="s">
        <v>130</v>
      </c>
      <c r="D5" s="595" t="s">
        <v>419</v>
      </c>
      <c r="E5" s="595" t="s">
        <v>420</v>
      </c>
      <c r="F5" s="595" t="s">
        <v>555</v>
      </c>
      <c r="G5" s="595" t="s">
        <v>556</v>
      </c>
      <c r="H5" s="595" t="s">
        <v>557</v>
      </c>
      <c r="I5" s="595" t="s">
        <v>558</v>
      </c>
      <c r="J5" s="595" t="s">
        <v>559</v>
      </c>
      <c r="K5" s="595" t="s">
        <v>560</v>
      </c>
      <c r="L5" s="595" t="s">
        <v>561</v>
      </c>
      <c r="M5" s="595" t="s">
        <v>562</v>
      </c>
      <c r="N5" s="595" t="s">
        <v>162</v>
      </c>
      <c r="O5" s="595"/>
      <c r="P5" s="595" t="s">
        <v>563</v>
      </c>
      <c r="Q5" s="595" t="s">
        <v>564</v>
      </c>
      <c r="R5" s="595" t="s">
        <v>565</v>
      </c>
    </row>
    <row r="6" spans="1:18" ht="126" x14ac:dyDescent="0.25">
      <c r="A6" s="595"/>
      <c r="B6" s="595"/>
      <c r="C6" s="595"/>
      <c r="D6" s="595"/>
      <c r="E6" s="595"/>
      <c r="F6" s="595"/>
      <c r="G6" s="595"/>
      <c r="H6" s="595"/>
      <c r="I6" s="595"/>
      <c r="J6" s="595"/>
      <c r="K6" s="595"/>
      <c r="L6" s="595"/>
      <c r="M6" s="595"/>
      <c r="N6" s="29" t="s">
        <v>586</v>
      </c>
      <c r="O6" s="29" t="s">
        <v>587</v>
      </c>
      <c r="P6" s="595"/>
      <c r="Q6" s="595"/>
      <c r="R6" s="595"/>
    </row>
    <row r="7" spans="1:18"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row>
    <row r="8" spans="1:18" ht="32.25" customHeight="1" x14ac:dyDescent="0.25">
      <c r="A8" s="29"/>
      <c r="B8" s="30" t="s">
        <v>133</v>
      </c>
      <c r="C8" s="30"/>
      <c r="D8" s="30"/>
      <c r="E8" s="30"/>
      <c r="F8" s="30"/>
      <c r="G8" s="30"/>
      <c r="H8" s="30"/>
      <c r="I8" s="30"/>
      <c r="J8" s="30"/>
      <c r="K8" s="30"/>
      <c r="L8" s="30"/>
      <c r="M8" s="30"/>
      <c r="N8" s="30"/>
      <c r="O8" s="30"/>
      <c r="P8" s="30"/>
      <c r="Q8" s="30"/>
      <c r="R8" s="30"/>
    </row>
    <row r="9" spans="1:18" ht="32.25" customHeight="1" x14ac:dyDescent="0.25">
      <c r="A9" s="29">
        <v>1</v>
      </c>
      <c r="B9" s="30" t="s">
        <v>166</v>
      </c>
      <c r="C9" s="30"/>
      <c r="D9" s="30"/>
      <c r="E9" s="30"/>
      <c r="F9" s="30"/>
      <c r="G9" s="30"/>
      <c r="H9" s="30"/>
      <c r="I9" s="30"/>
      <c r="J9" s="30"/>
      <c r="K9" s="30"/>
      <c r="L9" s="30"/>
      <c r="M9" s="30"/>
      <c r="N9" s="30"/>
      <c r="O9" s="30"/>
      <c r="P9" s="30"/>
      <c r="Q9" s="30"/>
      <c r="R9" s="30"/>
    </row>
    <row r="10" spans="1:18" ht="32.25" customHeight="1" x14ac:dyDescent="0.25">
      <c r="A10" s="29">
        <v>2</v>
      </c>
      <c r="B10" s="30" t="s">
        <v>167</v>
      </c>
      <c r="C10" s="30"/>
      <c r="D10" s="30"/>
      <c r="E10" s="30"/>
      <c r="F10" s="30"/>
      <c r="G10" s="30"/>
      <c r="H10" s="30"/>
      <c r="I10" s="30"/>
      <c r="J10" s="30"/>
      <c r="K10" s="30"/>
      <c r="L10" s="30"/>
      <c r="M10" s="30"/>
      <c r="N10" s="30"/>
      <c r="O10" s="30"/>
      <c r="P10" s="30"/>
      <c r="Q10" s="30"/>
      <c r="R10" s="30"/>
    </row>
    <row r="11" spans="1:18" ht="32.25" customHeight="1" x14ac:dyDescent="0.25">
      <c r="A11" s="29">
        <v>3</v>
      </c>
      <c r="B11" s="30" t="s">
        <v>205</v>
      </c>
      <c r="C11" s="30"/>
      <c r="D11" s="30"/>
      <c r="E11" s="30"/>
      <c r="F11" s="30"/>
      <c r="G11" s="30"/>
      <c r="H11" s="30"/>
      <c r="I11" s="30"/>
      <c r="J11" s="30"/>
      <c r="K11" s="30"/>
      <c r="L11" s="30"/>
      <c r="M11" s="30"/>
      <c r="N11" s="30"/>
      <c r="O11" s="30"/>
      <c r="P11" s="30"/>
      <c r="Q11" s="30"/>
      <c r="R11" s="30"/>
    </row>
  </sheetData>
  <mergeCells count="19">
    <mergeCell ref="D5:D6"/>
    <mergeCell ref="E5:E6"/>
    <mergeCell ref="F5:F6"/>
    <mergeCell ref="J5:J6"/>
    <mergeCell ref="K5:K6"/>
    <mergeCell ref="L5:L6"/>
    <mergeCell ref="A2:R2"/>
    <mergeCell ref="A3:R3"/>
    <mergeCell ref="M5:M6"/>
    <mergeCell ref="N5:O5"/>
    <mergeCell ref="P5:P6"/>
    <mergeCell ref="Q5:Q6"/>
    <mergeCell ref="R5:R6"/>
    <mergeCell ref="G5:G6"/>
    <mergeCell ref="H5:H6"/>
    <mergeCell ref="I5:I6"/>
    <mergeCell ref="A5:A6"/>
    <mergeCell ref="B5:B6"/>
    <mergeCell ref="C5:C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50"/>
  </sheetPr>
  <dimension ref="A1:S34"/>
  <sheetViews>
    <sheetView workbookViewId="0">
      <selection activeCell="A2" sqref="A2:S2"/>
    </sheetView>
  </sheetViews>
  <sheetFormatPr defaultRowHeight="15" x14ac:dyDescent="0.25"/>
  <cols>
    <col min="1" max="1" width="6.42578125" customWidth="1"/>
    <col min="2" max="2" width="39.5703125" customWidth="1"/>
    <col min="3" max="3" width="12.42578125" bestFit="1" customWidth="1"/>
    <col min="4" max="4" width="10.7109375" bestFit="1" customWidth="1"/>
    <col min="5" max="5" width="9.5703125" customWidth="1"/>
    <col min="9" max="9" width="10.28515625" customWidth="1"/>
    <col min="10" max="10" width="9.5703125" bestFit="1" customWidth="1"/>
    <col min="11" max="11" width="10.5703125" customWidth="1"/>
    <col min="13" max="13" width="10.5703125" customWidth="1"/>
    <col min="15" max="15" width="11.5703125" customWidth="1"/>
    <col min="16" max="16" width="10.42578125" customWidth="1"/>
    <col min="17" max="17" width="9.7109375" customWidth="1"/>
    <col min="18" max="18" width="9.5703125" bestFit="1" customWidth="1"/>
  </cols>
  <sheetData>
    <row r="1" spans="1:19" ht="15.75" x14ac:dyDescent="0.25">
      <c r="R1" s="25" t="s">
        <v>414</v>
      </c>
    </row>
    <row r="2" spans="1:19" ht="15.75" x14ac:dyDescent="0.25">
      <c r="A2" s="551" t="s">
        <v>1358</v>
      </c>
      <c r="B2" s="551"/>
      <c r="C2" s="551"/>
      <c r="D2" s="551"/>
      <c r="E2" s="551"/>
      <c r="F2" s="551"/>
      <c r="G2" s="551"/>
      <c r="H2" s="551"/>
      <c r="I2" s="551"/>
      <c r="J2" s="551"/>
      <c r="K2" s="551"/>
      <c r="L2" s="551"/>
      <c r="M2" s="551"/>
      <c r="N2" s="551"/>
      <c r="O2" s="551"/>
      <c r="P2" s="551"/>
      <c r="Q2" s="551"/>
      <c r="R2" s="551"/>
    </row>
    <row r="3" spans="1:19" ht="16.5" x14ac:dyDescent="0.25">
      <c r="A3" s="587" t="s">
        <v>1350</v>
      </c>
      <c r="B3" s="587"/>
      <c r="C3" s="587"/>
      <c r="D3" s="587"/>
      <c r="E3" s="587"/>
      <c r="F3" s="587"/>
      <c r="G3" s="587"/>
      <c r="H3" s="587"/>
      <c r="I3" s="587"/>
      <c r="J3" s="587"/>
      <c r="K3" s="587"/>
      <c r="L3" s="587"/>
      <c r="M3" s="587"/>
      <c r="N3" s="587"/>
      <c r="O3" s="587"/>
      <c r="P3" s="587"/>
      <c r="Q3" s="587"/>
      <c r="R3" s="587"/>
    </row>
    <row r="4" spans="1:19" ht="16.5" hidden="1" x14ac:dyDescent="0.25">
      <c r="A4" s="587" t="s">
        <v>1345</v>
      </c>
      <c r="B4" s="587"/>
      <c r="C4" s="587"/>
      <c r="D4" s="587"/>
      <c r="E4" s="587"/>
      <c r="F4" s="587"/>
      <c r="G4" s="587"/>
      <c r="H4" s="587"/>
      <c r="I4" s="587"/>
      <c r="J4" s="587"/>
      <c r="K4" s="587"/>
      <c r="L4" s="587"/>
      <c r="M4" s="587"/>
      <c r="N4" s="587"/>
      <c r="O4" s="587"/>
      <c r="P4" s="587"/>
      <c r="Q4" s="587"/>
      <c r="R4" s="587"/>
    </row>
    <row r="5" spans="1:19" ht="16.5" hidden="1" customHeight="1" x14ac:dyDescent="0.25">
      <c r="A5" s="587" t="s">
        <v>1345</v>
      </c>
      <c r="B5" s="587"/>
      <c r="C5" s="587"/>
      <c r="D5" s="587"/>
      <c r="E5" s="587"/>
      <c r="F5" s="587"/>
      <c r="G5" s="587"/>
      <c r="H5" s="587"/>
      <c r="I5" s="587"/>
      <c r="J5" s="587"/>
      <c r="K5" s="587"/>
      <c r="L5" s="587"/>
      <c r="M5" s="587"/>
      <c r="N5" s="587"/>
      <c r="O5" s="587"/>
      <c r="P5" s="587"/>
      <c r="Q5" s="587"/>
      <c r="R5" s="587"/>
      <c r="S5" s="173"/>
    </row>
    <row r="6" spans="1:19" ht="15.75" x14ac:dyDescent="0.25">
      <c r="D6" s="67"/>
      <c r="R6" s="26" t="s">
        <v>56</v>
      </c>
    </row>
    <row r="7" spans="1:19" ht="15.75" x14ac:dyDescent="0.25">
      <c r="A7" s="595" t="s">
        <v>3</v>
      </c>
      <c r="B7" s="595" t="s">
        <v>161</v>
      </c>
      <c r="C7" s="595" t="s">
        <v>130</v>
      </c>
      <c r="D7" s="595" t="s">
        <v>419</v>
      </c>
      <c r="E7" s="595" t="s">
        <v>420</v>
      </c>
      <c r="F7" s="595" t="s">
        <v>555</v>
      </c>
      <c r="G7" s="595" t="s">
        <v>556</v>
      </c>
      <c r="H7" s="595" t="s">
        <v>1209</v>
      </c>
      <c r="I7" s="595" t="s">
        <v>558</v>
      </c>
      <c r="J7" s="595" t="s">
        <v>1219</v>
      </c>
      <c r="K7" s="595" t="s">
        <v>560</v>
      </c>
      <c r="L7" s="595" t="s">
        <v>561</v>
      </c>
      <c r="M7" s="595" t="s">
        <v>562</v>
      </c>
      <c r="N7" s="595" t="s">
        <v>162</v>
      </c>
      <c r="O7" s="595"/>
      <c r="P7" s="595" t="s">
        <v>563</v>
      </c>
      <c r="Q7" s="595" t="s">
        <v>564</v>
      </c>
      <c r="R7" s="595" t="s">
        <v>566</v>
      </c>
    </row>
    <row r="8" spans="1:19" ht="94.5" x14ac:dyDescent="0.25">
      <c r="A8" s="595"/>
      <c r="B8" s="595"/>
      <c r="C8" s="595"/>
      <c r="D8" s="595"/>
      <c r="E8" s="595"/>
      <c r="F8" s="595"/>
      <c r="G8" s="595"/>
      <c r="H8" s="595"/>
      <c r="I8" s="595"/>
      <c r="J8" s="595"/>
      <c r="K8" s="595"/>
      <c r="L8" s="595"/>
      <c r="M8" s="595"/>
      <c r="N8" s="29" t="s">
        <v>586</v>
      </c>
      <c r="O8" s="29" t="s">
        <v>587</v>
      </c>
      <c r="P8" s="595"/>
      <c r="Q8" s="595"/>
      <c r="R8" s="595"/>
    </row>
    <row r="9" spans="1:19" ht="15.75" x14ac:dyDescent="0.25">
      <c r="A9" s="29" t="s">
        <v>15</v>
      </c>
      <c r="B9" s="29" t="s">
        <v>16</v>
      </c>
      <c r="C9" s="29">
        <v>1</v>
      </c>
      <c r="D9" s="29">
        <v>2</v>
      </c>
      <c r="E9" s="29">
        <v>3</v>
      </c>
      <c r="F9" s="29">
        <v>4</v>
      </c>
      <c r="G9" s="29">
        <v>5</v>
      </c>
      <c r="H9" s="29">
        <v>6</v>
      </c>
      <c r="I9" s="29">
        <v>7</v>
      </c>
      <c r="J9" s="29">
        <v>8</v>
      </c>
      <c r="K9" s="29">
        <v>9</v>
      </c>
      <c r="L9" s="29">
        <v>10</v>
      </c>
      <c r="M9" s="29">
        <v>11</v>
      </c>
      <c r="N9" s="29">
        <v>12</v>
      </c>
      <c r="O9" s="29">
        <v>13</v>
      </c>
      <c r="P9" s="29">
        <v>14</v>
      </c>
      <c r="Q9" s="29">
        <v>15</v>
      </c>
      <c r="R9" s="29">
        <v>16</v>
      </c>
    </row>
    <row r="10" spans="1:19" ht="20.100000000000001" customHeight="1" x14ac:dyDescent="0.25">
      <c r="A10" s="101"/>
      <c r="B10" s="102" t="s">
        <v>133</v>
      </c>
      <c r="C10" s="103" t="e">
        <f t="shared" ref="C10:R10" si="0">C11+C15+C20+C21+C22+C27+C30+C31+C32+C33</f>
        <v>#REF!</v>
      </c>
      <c r="D10" s="103" t="e">
        <f t="shared" si="0"/>
        <v>#REF!</v>
      </c>
      <c r="E10" s="103">
        <f t="shared" si="0"/>
        <v>560</v>
      </c>
      <c r="F10" s="103">
        <f t="shared" si="0"/>
        <v>500</v>
      </c>
      <c r="G10" s="103">
        <f t="shared" si="0"/>
        <v>234</v>
      </c>
      <c r="H10" s="103">
        <f t="shared" si="0"/>
        <v>560.36080799999991</v>
      </c>
      <c r="I10" s="103">
        <f t="shared" si="0"/>
        <v>1969.2557260000001</v>
      </c>
      <c r="J10" s="103">
        <f t="shared" si="0"/>
        <v>0</v>
      </c>
      <c r="K10" s="103">
        <f t="shared" si="0"/>
        <v>1336.9186079999999</v>
      </c>
      <c r="L10" s="103">
        <f t="shared" si="0"/>
        <v>8828</v>
      </c>
      <c r="M10" s="103">
        <f t="shared" si="0"/>
        <v>59091</v>
      </c>
      <c r="N10" s="103">
        <f t="shared" si="0"/>
        <v>0</v>
      </c>
      <c r="O10" s="103">
        <f t="shared" si="0"/>
        <v>10916</v>
      </c>
      <c r="P10" s="103">
        <f t="shared" si="0"/>
        <v>10005.926987199999</v>
      </c>
      <c r="Q10" s="103">
        <f t="shared" si="0"/>
        <v>130621.8</v>
      </c>
      <c r="R10" s="103" t="e">
        <f t="shared" si="0"/>
        <v>#REF!</v>
      </c>
    </row>
    <row r="11" spans="1:19" s="100" customFormat="1" ht="20.100000000000001" customHeight="1" x14ac:dyDescent="0.25">
      <c r="A11" s="104" t="s">
        <v>83</v>
      </c>
      <c r="B11" s="105" t="s">
        <v>1136</v>
      </c>
      <c r="C11" s="106">
        <f>SUM(C12:C14)</f>
        <v>59091</v>
      </c>
      <c r="D11" s="106">
        <f t="shared" ref="D11:R11" si="1">SUM(D12:D14)</f>
        <v>0</v>
      </c>
      <c r="E11" s="106">
        <f t="shared" si="1"/>
        <v>0</v>
      </c>
      <c r="F11" s="106">
        <f t="shared" si="1"/>
        <v>0</v>
      </c>
      <c r="G11" s="106">
        <f t="shared" si="1"/>
        <v>0</v>
      </c>
      <c r="H11" s="106">
        <f t="shared" si="1"/>
        <v>0</v>
      </c>
      <c r="I11" s="106">
        <f t="shared" si="1"/>
        <v>0</v>
      </c>
      <c r="J11" s="106">
        <f t="shared" si="1"/>
        <v>0</v>
      </c>
      <c r="K11" s="106">
        <f t="shared" si="1"/>
        <v>0</v>
      </c>
      <c r="L11" s="106">
        <f t="shared" si="1"/>
        <v>0</v>
      </c>
      <c r="M11" s="106">
        <f t="shared" si="1"/>
        <v>59091</v>
      </c>
      <c r="N11" s="106">
        <f t="shared" si="1"/>
        <v>0</v>
      </c>
      <c r="O11" s="106">
        <f t="shared" si="1"/>
        <v>10916</v>
      </c>
      <c r="P11" s="106">
        <f t="shared" si="1"/>
        <v>0</v>
      </c>
      <c r="Q11" s="106">
        <f t="shared" si="1"/>
        <v>0</v>
      </c>
      <c r="R11" s="106">
        <f t="shared" si="1"/>
        <v>0</v>
      </c>
    </row>
    <row r="12" spans="1:19" ht="20.100000000000001" customHeight="1" x14ac:dyDescent="0.25">
      <c r="A12" s="107" t="s">
        <v>1042</v>
      </c>
      <c r="B12" s="108" t="s">
        <v>1098</v>
      </c>
      <c r="C12" s="109">
        <f>SUM(D12:M12)+P12+Q12+R12</f>
        <v>10916</v>
      </c>
      <c r="D12" s="109"/>
      <c r="E12" s="109"/>
      <c r="F12" s="109"/>
      <c r="G12" s="109"/>
      <c r="H12" s="109"/>
      <c r="I12" s="109"/>
      <c r="J12" s="109"/>
      <c r="K12" s="109"/>
      <c r="L12" s="109"/>
      <c r="M12" s="109">
        <f>SUM(N12:O12)</f>
        <v>10916</v>
      </c>
      <c r="N12" s="109"/>
      <c r="O12" s="109">
        <f>'CHI NS HUYEN 35'!O19</f>
        <v>10916</v>
      </c>
      <c r="P12" s="109"/>
      <c r="Q12" s="109"/>
      <c r="R12" s="109"/>
    </row>
    <row r="13" spans="1:19" ht="29.25" customHeight="1" x14ac:dyDescent="0.25">
      <c r="A13" s="107" t="s">
        <v>1043</v>
      </c>
      <c r="B13" s="174" t="s">
        <v>1330</v>
      </c>
      <c r="C13" s="109">
        <f t="shared" ref="C13:C33" si="2">SUM(D13:M13)+P13+Q13+R13</f>
        <v>18255</v>
      </c>
      <c r="D13" s="109"/>
      <c r="E13" s="109"/>
      <c r="F13" s="109"/>
      <c r="G13" s="109"/>
      <c r="H13" s="109"/>
      <c r="I13" s="109"/>
      <c r="J13" s="109"/>
      <c r="K13" s="109"/>
      <c r="L13" s="109"/>
      <c r="M13" s="109">
        <f>'CHI NS HUYEN 35'!O20</f>
        <v>18255</v>
      </c>
      <c r="N13" s="109"/>
      <c r="O13" s="109"/>
      <c r="P13" s="109"/>
      <c r="Q13" s="109"/>
      <c r="R13" s="109"/>
    </row>
    <row r="14" spans="1:19" ht="20.100000000000001" customHeight="1" x14ac:dyDescent="0.25">
      <c r="A14" s="107" t="s">
        <v>1044</v>
      </c>
      <c r="B14" s="108" t="s">
        <v>1342</v>
      </c>
      <c r="C14" s="109">
        <f t="shared" si="2"/>
        <v>29920</v>
      </c>
      <c r="D14" s="109"/>
      <c r="E14" s="109"/>
      <c r="F14" s="109"/>
      <c r="G14" s="109"/>
      <c r="H14" s="109"/>
      <c r="I14" s="109"/>
      <c r="J14" s="109"/>
      <c r="K14" s="109"/>
      <c r="L14" s="109"/>
      <c r="M14" s="109">
        <f>'CHI NS HUYEN 35'!O21</f>
        <v>29920</v>
      </c>
      <c r="N14" s="109"/>
      <c r="O14" s="109"/>
      <c r="P14" s="109"/>
      <c r="Q14" s="109"/>
      <c r="R14" s="109"/>
    </row>
    <row r="15" spans="1:19" s="100" customFormat="1" ht="20.100000000000001" customHeight="1" x14ac:dyDescent="0.25">
      <c r="A15" s="104" t="s">
        <v>70</v>
      </c>
      <c r="B15" s="105" t="s">
        <v>1207</v>
      </c>
      <c r="C15" s="106" t="e">
        <f>SUM(C16:C19)</f>
        <v>#REF!</v>
      </c>
      <c r="D15" s="106" t="e">
        <f t="shared" ref="D15:R15" si="3">SUM(D16:D19)</f>
        <v>#REF!</v>
      </c>
      <c r="E15" s="106">
        <f t="shared" si="3"/>
        <v>0</v>
      </c>
      <c r="F15" s="106">
        <f t="shared" si="3"/>
        <v>0</v>
      </c>
      <c r="G15" s="106">
        <f t="shared" si="3"/>
        <v>0</v>
      </c>
      <c r="H15" s="106">
        <f t="shared" si="3"/>
        <v>560.36080799999991</v>
      </c>
      <c r="I15" s="106">
        <f t="shared" si="3"/>
        <v>1969.2557260000001</v>
      </c>
      <c r="J15" s="106">
        <f t="shared" si="3"/>
        <v>0</v>
      </c>
      <c r="K15" s="106">
        <f t="shared" si="3"/>
        <v>1336.9186079999999</v>
      </c>
      <c r="L15" s="106">
        <f t="shared" si="3"/>
        <v>0</v>
      </c>
      <c r="M15" s="106">
        <f t="shared" si="3"/>
        <v>0</v>
      </c>
      <c r="N15" s="106">
        <f t="shared" si="3"/>
        <v>0</v>
      </c>
      <c r="O15" s="106">
        <f t="shared" si="3"/>
        <v>0</v>
      </c>
      <c r="P15" s="106">
        <f t="shared" si="3"/>
        <v>0</v>
      </c>
      <c r="Q15" s="106">
        <f t="shared" si="3"/>
        <v>0</v>
      </c>
      <c r="R15" s="106">
        <f t="shared" si="3"/>
        <v>0</v>
      </c>
    </row>
    <row r="16" spans="1:19" ht="20.100000000000001" customHeight="1" x14ac:dyDescent="0.25">
      <c r="A16" s="107" t="s">
        <v>1042</v>
      </c>
      <c r="B16" s="83" t="s">
        <v>1100</v>
      </c>
      <c r="C16" s="109">
        <f t="shared" si="2"/>
        <v>3306.1743340000003</v>
      </c>
      <c r="D16" s="109"/>
      <c r="E16" s="109"/>
      <c r="F16" s="109"/>
      <c r="G16" s="109"/>
      <c r="H16" s="109"/>
      <c r="I16" s="109">
        <f>'CHI NS HUYEN 35'!F24+'CHI NS HUYEN 35'!F25</f>
        <v>1969.2557260000001</v>
      </c>
      <c r="J16" s="109"/>
      <c r="K16" s="109">
        <f>'CHI NS HUYEN 35'!F26</f>
        <v>1336.9186079999999</v>
      </c>
      <c r="L16" s="109"/>
      <c r="M16" s="109"/>
      <c r="N16" s="109"/>
      <c r="O16" s="109"/>
      <c r="P16" s="109"/>
      <c r="Q16" s="109"/>
      <c r="R16" s="109"/>
    </row>
    <row r="17" spans="1:18" ht="20.100000000000001" customHeight="1" x14ac:dyDescent="0.25">
      <c r="A17" s="107" t="s">
        <v>1043</v>
      </c>
      <c r="B17" s="83" t="s">
        <v>1104</v>
      </c>
      <c r="C17" s="109">
        <f t="shared" si="2"/>
        <v>560.36080799999991</v>
      </c>
      <c r="D17" s="109"/>
      <c r="E17" s="109"/>
      <c r="F17" s="109"/>
      <c r="G17" s="109"/>
      <c r="H17" s="109">
        <f>'CHI NS HUYEN 35'!F27</f>
        <v>560.36080799999991</v>
      </c>
      <c r="I17" s="109"/>
      <c r="J17" s="109"/>
      <c r="K17" s="109"/>
      <c r="L17" s="109"/>
      <c r="M17" s="109"/>
      <c r="N17" s="109"/>
      <c r="O17" s="109"/>
      <c r="P17" s="109"/>
      <c r="Q17" s="109"/>
      <c r="R17" s="109"/>
    </row>
    <row r="18" spans="1:18" ht="20.100000000000001" customHeight="1" x14ac:dyDescent="0.25">
      <c r="A18" s="107" t="s">
        <v>1044</v>
      </c>
      <c r="B18" s="84" t="s">
        <v>634</v>
      </c>
      <c r="C18" s="109" t="e">
        <f t="shared" si="2"/>
        <v>#REF!</v>
      </c>
      <c r="D18" s="109" t="e">
        <f>'CHI NS HUYEN 35'!#REF!</f>
        <v>#REF!</v>
      </c>
      <c r="E18" s="109"/>
      <c r="F18" s="109"/>
      <c r="G18" s="109"/>
      <c r="H18" s="109"/>
      <c r="I18" s="109"/>
      <c r="J18" s="109"/>
      <c r="K18" s="109"/>
      <c r="L18" s="109"/>
      <c r="M18" s="109"/>
      <c r="N18" s="109"/>
      <c r="O18" s="109"/>
      <c r="P18" s="109"/>
      <c r="Q18" s="109"/>
      <c r="R18" s="109"/>
    </row>
    <row r="19" spans="1:18" ht="20.100000000000001" customHeight="1" x14ac:dyDescent="0.25">
      <c r="A19" s="107" t="s">
        <v>1045</v>
      </c>
      <c r="B19" s="108" t="s">
        <v>1208</v>
      </c>
      <c r="C19" s="109">
        <f t="shared" si="2"/>
        <v>8479.3125234799991</v>
      </c>
      <c r="D19" s="109">
        <f>'CHI NS HUYEN 35'!F31</f>
        <v>8479.3125234799991</v>
      </c>
      <c r="E19" s="109"/>
      <c r="F19" s="109"/>
      <c r="G19" s="109"/>
      <c r="H19" s="109"/>
      <c r="I19" s="109"/>
      <c r="J19" s="109"/>
      <c r="K19" s="109"/>
      <c r="L19" s="109"/>
      <c r="M19" s="109"/>
      <c r="N19" s="109"/>
      <c r="O19" s="109"/>
      <c r="P19" s="109"/>
      <c r="Q19" s="109"/>
      <c r="R19" s="109"/>
    </row>
    <row r="20" spans="1:18" s="100" customFormat="1" ht="20.100000000000001" customHeight="1" x14ac:dyDescent="0.25">
      <c r="A20" s="104" t="s">
        <v>73</v>
      </c>
      <c r="B20" s="105" t="s">
        <v>1105</v>
      </c>
      <c r="C20" s="106">
        <f t="shared" si="2"/>
        <v>560</v>
      </c>
      <c r="D20" s="106"/>
      <c r="E20" s="106">
        <f>'CHI NS HUYEN 35'!F29</f>
        <v>560</v>
      </c>
      <c r="F20" s="106"/>
      <c r="G20" s="106"/>
      <c r="H20" s="106"/>
      <c r="I20" s="106"/>
      <c r="J20" s="106"/>
      <c r="K20" s="106"/>
      <c r="L20" s="106"/>
      <c r="M20" s="106"/>
      <c r="N20" s="106"/>
      <c r="O20" s="106"/>
      <c r="P20" s="106"/>
      <c r="Q20" s="106"/>
      <c r="R20" s="106"/>
    </row>
    <row r="21" spans="1:18" s="100" customFormat="1" ht="20.100000000000001" customHeight="1" x14ac:dyDescent="0.25">
      <c r="A21" s="104" t="s">
        <v>77</v>
      </c>
      <c r="B21" s="105" t="s">
        <v>1106</v>
      </c>
      <c r="C21" s="106">
        <f t="shared" si="2"/>
        <v>8828</v>
      </c>
      <c r="D21" s="106"/>
      <c r="E21" s="106"/>
      <c r="F21" s="106"/>
      <c r="G21" s="106"/>
      <c r="H21" s="106"/>
      <c r="I21" s="106"/>
      <c r="J21" s="106"/>
      <c r="K21" s="106"/>
      <c r="L21" s="106">
        <f>'CHI NS HUYEN 35'!F30</f>
        <v>8828</v>
      </c>
      <c r="M21" s="106"/>
      <c r="N21" s="106"/>
      <c r="O21" s="106"/>
      <c r="P21" s="106"/>
      <c r="Q21" s="106"/>
      <c r="R21" s="106"/>
    </row>
    <row r="22" spans="1:18" s="100" customFormat="1" ht="20.100000000000001" customHeight="1" x14ac:dyDescent="0.25">
      <c r="A22" s="104" t="s">
        <v>113</v>
      </c>
      <c r="B22" s="105" t="s">
        <v>1210</v>
      </c>
      <c r="C22" s="106">
        <f>SUM(C23:C26)</f>
        <v>10005.926987199999</v>
      </c>
      <c r="D22" s="106">
        <f t="shared" ref="D22:R22" si="4">SUM(D23:D26)</f>
        <v>0</v>
      </c>
      <c r="E22" s="106">
        <f t="shared" si="4"/>
        <v>0</v>
      </c>
      <c r="F22" s="106">
        <f t="shared" si="4"/>
        <v>0</v>
      </c>
      <c r="G22" s="106">
        <f t="shared" si="4"/>
        <v>0</v>
      </c>
      <c r="H22" s="106">
        <f t="shared" si="4"/>
        <v>0</v>
      </c>
      <c r="I22" s="106">
        <f t="shared" si="4"/>
        <v>0</v>
      </c>
      <c r="J22" s="106">
        <f t="shared" si="4"/>
        <v>0</v>
      </c>
      <c r="K22" s="106">
        <f t="shared" si="4"/>
        <v>0</v>
      </c>
      <c r="L22" s="106">
        <f t="shared" si="4"/>
        <v>0</v>
      </c>
      <c r="M22" s="106">
        <f t="shared" si="4"/>
        <v>0</v>
      </c>
      <c r="N22" s="106">
        <f t="shared" si="4"/>
        <v>0</v>
      </c>
      <c r="O22" s="106">
        <f t="shared" si="4"/>
        <v>0</v>
      </c>
      <c r="P22" s="106">
        <f t="shared" si="4"/>
        <v>10005.926987199999</v>
      </c>
      <c r="Q22" s="106">
        <f t="shared" si="4"/>
        <v>0</v>
      </c>
      <c r="R22" s="106">
        <f t="shared" si="4"/>
        <v>0</v>
      </c>
    </row>
    <row r="23" spans="1:18" ht="20.100000000000001" customHeight="1" x14ac:dyDescent="0.25">
      <c r="A23" s="107" t="s">
        <v>1042</v>
      </c>
      <c r="B23" s="108" t="s">
        <v>1211</v>
      </c>
      <c r="C23" s="109">
        <f t="shared" si="2"/>
        <v>8251.5596007999993</v>
      </c>
      <c r="D23" s="109"/>
      <c r="E23" s="109"/>
      <c r="F23" s="109"/>
      <c r="G23" s="109"/>
      <c r="H23" s="109"/>
      <c r="I23" s="109"/>
      <c r="J23" s="109"/>
      <c r="K23" s="109"/>
      <c r="L23" s="109"/>
      <c r="M23" s="109"/>
      <c r="N23" s="109"/>
      <c r="O23" s="109"/>
      <c r="P23" s="109">
        <f>'CHI NS HUYEN 35'!F37</f>
        <v>8251.5596007999993</v>
      </c>
      <c r="Q23" s="109"/>
      <c r="R23" s="109"/>
    </row>
    <row r="24" spans="1:18" ht="20.100000000000001" customHeight="1" x14ac:dyDescent="0.25">
      <c r="A24" s="107" t="s">
        <v>1043</v>
      </c>
      <c r="B24" s="108" t="s">
        <v>1212</v>
      </c>
      <c r="C24" s="109">
        <f t="shared" si="2"/>
        <v>87</v>
      </c>
      <c r="D24" s="109"/>
      <c r="E24" s="109"/>
      <c r="F24" s="109"/>
      <c r="G24" s="109"/>
      <c r="H24" s="109"/>
      <c r="I24" s="109"/>
      <c r="J24" s="109"/>
      <c r="K24" s="109"/>
      <c r="L24" s="109"/>
      <c r="M24" s="109"/>
      <c r="N24" s="109"/>
      <c r="O24" s="109"/>
      <c r="P24" s="109">
        <f>'CHI NS HUYEN 35'!F69</f>
        <v>87</v>
      </c>
      <c r="Q24" s="109"/>
      <c r="R24" s="109"/>
    </row>
    <row r="25" spans="1:18" ht="20.100000000000001" customHeight="1" x14ac:dyDescent="0.25">
      <c r="A25" s="107" t="s">
        <v>1044</v>
      </c>
      <c r="B25" s="108" t="s">
        <v>1213</v>
      </c>
      <c r="C25" s="109">
        <f t="shared" si="2"/>
        <v>923.94385999999986</v>
      </c>
      <c r="D25" s="109"/>
      <c r="E25" s="109"/>
      <c r="F25" s="109"/>
      <c r="G25" s="109"/>
      <c r="H25" s="109"/>
      <c r="I25" s="109"/>
      <c r="J25" s="109"/>
      <c r="K25" s="109"/>
      <c r="L25" s="109"/>
      <c r="M25" s="109"/>
      <c r="N25" s="109"/>
      <c r="O25" s="109"/>
      <c r="P25" s="109">
        <f>'CHI NS HUYEN 35'!F54</f>
        <v>923.94385999999986</v>
      </c>
      <c r="Q25" s="109"/>
      <c r="R25" s="109"/>
    </row>
    <row r="26" spans="1:18" ht="20.100000000000001" customHeight="1" x14ac:dyDescent="0.25">
      <c r="A26" s="107" t="s">
        <v>1045</v>
      </c>
      <c r="B26" s="108" t="s">
        <v>1214</v>
      </c>
      <c r="C26" s="109">
        <f t="shared" si="2"/>
        <v>743.4235263999999</v>
      </c>
      <c r="D26" s="109"/>
      <c r="E26" s="109"/>
      <c r="F26" s="109"/>
      <c r="G26" s="109"/>
      <c r="H26" s="109"/>
      <c r="I26" s="109"/>
      <c r="J26" s="109"/>
      <c r="K26" s="109"/>
      <c r="L26" s="109"/>
      <c r="M26" s="109"/>
      <c r="N26" s="109"/>
      <c r="O26" s="109"/>
      <c r="P26" s="109">
        <f>'CHI NS HUYEN 35'!F60</f>
        <v>743.4235263999999</v>
      </c>
      <c r="Q26" s="109"/>
      <c r="R26" s="109"/>
    </row>
    <row r="27" spans="1:18" s="100" customFormat="1" ht="20.100000000000001" customHeight="1" x14ac:dyDescent="0.25">
      <c r="A27" s="104" t="s">
        <v>426</v>
      </c>
      <c r="B27" s="105" t="s">
        <v>1215</v>
      </c>
      <c r="C27" s="106">
        <f>SUM(C28:C29)</f>
        <v>734</v>
      </c>
      <c r="D27" s="106">
        <f t="shared" ref="D27:R27" si="5">SUM(D28:D29)</f>
        <v>0</v>
      </c>
      <c r="E27" s="106">
        <f t="shared" si="5"/>
        <v>0</v>
      </c>
      <c r="F27" s="106">
        <f t="shared" si="5"/>
        <v>500</v>
      </c>
      <c r="G27" s="106">
        <f t="shared" si="5"/>
        <v>234</v>
      </c>
      <c r="H27" s="106">
        <f t="shared" si="5"/>
        <v>0</v>
      </c>
      <c r="I27" s="106">
        <f t="shared" si="5"/>
        <v>0</v>
      </c>
      <c r="J27" s="106">
        <f t="shared" si="5"/>
        <v>0</v>
      </c>
      <c r="K27" s="106">
        <f t="shared" si="5"/>
        <v>0</v>
      </c>
      <c r="L27" s="106">
        <f t="shared" si="5"/>
        <v>0</v>
      </c>
      <c r="M27" s="106">
        <f t="shared" si="5"/>
        <v>0</v>
      </c>
      <c r="N27" s="106">
        <f t="shared" si="5"/>
        <v>0</v>
      </c>
      <c r="O27" s="106">
        <f t="shared" si="5"/>
        <v>0</v>
      </c>
      <c r="P27" s="106">
        <f t="shared" si="5"/>
        <v>0</v>
      </c>
      <c r="Q27" s="106">
        <f t="shared" si="5"/>
        <v>0</v>
      </c>
      <c r="R27" s="106">
        <f t="shared" si="5"/>
        <v>0</v>
      </c>
    </row>
    <row r="28" spans="1:18" ht="20.100000000000001" customHeight="1" x14ac:dyDescent="0.25">
      <c r="A28" s="107" t="s">
        <v>1042</v>
      </c>
      <c r="B28" s="108" t="s">
        <v>1216</v>
      </c>
      <c r="C28" s="109">
        <f t="shared" si="2"/>
        <v>500</v>
      </c>
      <c r="D28" s="109"/>
      <c r="E28" s="109"/>
      <c r="F28" s="109">
        <f>'CHI NS HUYEN 35'!F79</f>
        <v>500</v>
      </c>
      <c r="G28" s="109"/>
      <c r="H28" s="109"/>
      <c r="I28" s="109"/>
      <c r="J28" s="109"/>
      <c r="K28" s="109"/>
      <c r="L28" s="109"/>
      <c r="M28" s="109"/>
      <c r="N28" s="109"/>
      <c r="O28" s="109"/>
      <c r="P28" s="109"/>
      <c r="Q28" s="109"/>
      <c r="R28" s="109"/>
    </row>
    <row r="29" spans="1:18" ht="20.100000000000001" customHeight="1" x14ac:dyDescent="0.25">
      <c r="A29" s="107" t="s">
        <v>1043</v>
      </c>
      <c r="B29" s="108" t="s">
        <v>1217</v>
      </c>
      <c r="C29" s="109">
        <f t="shared" si="2"/>
        <v>234</v>
      </c>
      <c r="D29" s="109"/>
      <c r="E29" s="109"/>
      <c r="F29" s="109"/>
      <c r="G29" s="109">
        <f>'CHI NS HUYEN 35'!F80</f>
        <v>234</v>
      </c>
      <c r="H29" s="109"/>
      <c r="I29" s="109"/>
      <c r="J29" s="109"/>
      <c r="K29" s="109"/>
      <c r="L29" s="109"/>
      <c r="M29" s="109"/>
      <c r="N29" s="109"/>
      <c r="O29" s="109"/>
      <c r="P29" s="109"/>
      <c r="Q29" s="109"/>
      <c r="R29" s="109"/>
    </row>
    <row r="30" spans="1:18" s="100" customFormat="1" ht="20.100000000000001" customHeight="1" x14ac:dyDescent="0.25">
      <c r="A30" s="104" t="s">
        <v>674</v>
      </c>
      <c r="B30" s="105" t="s">
        <v>1218</v>
      </c>
      <c r="C30" s="106" t="e">
        <f t="shared" si="2"/>
        <v>#REF!</v>
      </c>
      <c r="D30" s="106"/>
      <c r="E30" s="106"/>
      <c r="F30" s="106"/>
      <c r="G30" s="106"/>
      <c r="H30" s="106"/>
      <c r="I30" s="106"/>
      <c r="J30" s="106"/>
      <c r="K30" s="106"/>
      <c r="L30" s="106"/>
      <c r="M30" s="106"/>
      <c r="N30" s="106"/>
      <c r="O30" s="106"/>
      <c r="P30" s="106"/>
      <c r="Q30" s="106"/>
      <c r="R30" s="106" t="e">
        <f>'CHI NS HUYEN 35'!F85+'TONG HOP SO 30'!#REF!</f>
        <v>#REF!</v>
      </c>
    </row>
    <row r="31" spans="1:18" s="100" customFormat="1" ht="20.100000000000001" customHeight="1" x14ac:dyDescent="0.25">
      <c r="A31" s="104" t="s">
        <v>1220</v>
      </c>
      <c r="B31" s="105" t="s">
        <v>1221</v>
      </c>
      <c r="C31" s="106">
        <f t="shared" si="2"/>
        <v>0</v>
      </c>
      <c r="D31" s="106"/>
      <c r="E31" s="106"/>
      <c r="F31" s="106"/>
      <c r="G31" s="106"/>
      <c r="H31" s="106"/>
      <c r="I31" s="106"/>
      <c r="J31" s="106"/>
      <c r="K31" s="106"/>
      <c r="L31" s="106"/>
      <c r="M31" s="106"/>
      <c r="N31" s="106"/>
      <c r="O31" s="106"/>
      <c r="P31" s="106"/>
      <c r="Q31" s="106"/>
      <c r="R31" s="106">
        <f>'CHI NS HUYEN 35'!F87</f>
        <v>0</v>
      </c>
    </row>
    <row r="32" spans="1:18" s="100" customFormat="1" ht="20.100000000000001" customHeight="1" x14ac:dyDescent="0.25">
      <c r="A32" s="104" t="s">
        <v>1222</v>
      </c>
      <c r="B32" s="105" t="s">
        <v>1202</v>
      </c>
      <c r="C32" s="106">
        <f t="shared" si="2"/>
        <v>0</v>
      </c>
      <c r="D32" s="106"/>
      <c r="E32" s="106"/>
      <c r="F32" s="106"/>
      <c r="G32" s="106"/>
      <c r="H32" s="106"/>
      <c r="I32" s="106"/>
      <c r="J32" s="106"/>
      <c r="K32" s="106"/>
      <c r="L32" s="106"/>
      <c r="M32" s="106"/>
      <c r="N32" s="106"/>
      <c r="O32" s="106"/>
      <c r="P32" s="106"/>
      <c r="Q32" s="106"/>
      <c r="R32" s="106">
        <f>'CHI NS HUYEN 35'!F86</f>
        <v>0</v>
      </c>
    </row>
    <row r="33" spans="1:18" s="100" customFormat="1" ht="20.100000000000001" customHeight="1" x14ac:dyDescent="0.25">
      <c r="A33" s="110" t="s">
        <v>1223</v>
      </c>
      <c r="B33" s="111" t="s">
        <v>1196</v>
      </c>
      <c r="C33" s="112">
        <f t="shared" si="2"/>
        <v>153822.745</v>
      </c>
      <c r="D33" s="112">
        <f>'TONG HOP SO 30'!C56</f>
        <v>0</v>
      </c>
      <c r="E33" s="112"/>
      <c r="F33" s="112"/>
      <c r="G33" s="112"/>
      <c r="H33" s="112"/>
      <c r="I33" s="112"/>
      <c r="J33" s="112"/>
      <c r="K33" s="112"/>
      <c r="L33" s="112"/>
      <c r="M33" s="112"/>
      <c r="N33" s="112"/>
      <c r="O33" s="112"/>
      <c r="P33" s="112"/>
      <c r="Q33" s="112">
        <f>'TONG HOP SO 30'!C64</f>
        <v>130621.8</v>
      </c>
      <c r="R33" s="112">
        <f>'TONG HOP SO 30'!C71</f>
        <v>23200.945</v>
      </c>
    </row>
    <row r="34" spans="1:18" ht="15.75" x14ac:dyDescent="0.25">
      <c r="A34" s="35"/>
    </row>
  </sheetData>
  <mergeCells count="21">
    <mergeCell ref="A2:R2"/>
    <mergeCell ref="M7:M8"/>
    <mergeCell ref="N7:O7"/>
    <mergeCell ref="P7:P8"/>
    <mergeCell ref="Q7:Q8"/>
    <mergeCell ref="R7:R8"/>
    <mergeCell ref="G7:G8"/>
    <mergeCell ref="H7:H8"/>
    <mergeCell ref="I7:I8"/>
    <mergeCell ref="J7:J8"/>
    <mergeCell ref="F7:F8"/>
    <mergeCell ref="K7:K8"/>
    <mergeCell ref="L7:L8"/>
    <mergeCell ref="A3:R3"/>
    <mergeCell ref="A4:R4"/>
    <mergeCell ref="A5:R5"/>
    <mergeCell ref="A7:A8"/>
    <mergeCell ref="B7:B8"/>
    <mergeCell ref="C7:C8"/>
    <mergeCell ref="D7:D8"/>
    <mergeCell ref="E7:E8"/>
  </mergeCells>
  <printOptions horizontalCentered="1"/>
  <pageMargins left="0.11811023622047245" right="0.19685039370078741" top="0.15748031496062992" bottom="0.15748031496062992" header="0.31496062992125984" footer="0.31496062992125984"/>
  <pageSetup paperSize="9" scale="65" orientation="landscape" verticalDpi="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sheetPr>
  <dimension ref="A1:I50"/>
  <sheetViews>
    <sheetView workbookViewId="0">
      <selection activeCell="E33" sqref="E33"/>
    </sheetView>
  </sheetViews>
  <sheetFormatPr defaultColWidth="9.28515625" defaultRowHeight="15" x14ac:dyDescent="0.25"/>
  <cols>
    <col min="1" max="1" width="6.28515625" style="7" customWidth="1"/>
    <col min="2" max="2" width="31.28515625" style="7" customWidth="1"/>
    <col min="3" max="8" width="10.28515625" style="7" customWidth="1"/>
    <col min="9" max="16384" width="9.28515625" style="7"/>
  </cols>
  <sheetData>
    <row r="1" spans="1:9" x14ac:dyDescent="0.25">
      <c r="A1" s="563" t="s">
        <v>124</v>
      </c>
      <c r="B1" s="563"/>
      <c r="C1" s="563"/>
      <c r="D1" s="563"/>
      <c r="E1" s="563"/>
      <c r="F1" s="563"/>
      <c r="G1" s="563"/>
      <c r="H1" s="563"/>
      <c r="I1" s="563"/>
    </row>
    <row r="2" spans="1:9" ht="18.75" x14ac:dyDescent="0.25">
      <c r="A2" s="564" t="s">
        <v>125</v>
      </c>
      <c r="B2" s="564"/>
      <c r="C2" s="564"/>
      <c r="D2" s="564"/>
      <c r="E2" s="564"/>
      <c r="F2" s="564"/>
      <c r="G2" s="564"/>
      <c r="H2" s="564"/>
      <c r="I2" s="564"/>
    </row>
    <row r="3" spans="1:9" x14ac:dyDescent="0.25">
      <c r="A3" s="565" t="s">
        <v>126</v>
      </c>
      <c r="B3" s="565"/>
      <c r="C3" s="565"/>
      <c r="D3" s="565"/>
      <c r="E3" s="565"/>
      <c r="F3" s="565"/>
      <c r="G3" s="565"/>
      <c r="H3" s="565"/>
      <c r="I3" s="565"/>
    </row>
    <row r="4" spans="1:9" x14ac:dyDescent="0.25">
      <c r="H4" s="566" t="s">
        <v>56</v>
      </c>
      <c r="I4" s="566"/>
    </row>
    <row r="5" spans="1:9" x14ac:dyDescent="0.25">
      <c r="A5" s="567" t="s">
        <v>3</v>
      </c>
      <c r="B5" s="567" t="s">
        <v>4</v>
      </c>
      <c r="C5" s="567" t="s">
        <v>127</v>
      </c>
      <c r="D5" s="567"/>
      <c r="E5" s="567"/>
      <c r="F5" s="567" t="s">
        <v>128</v>
      </c>
      <c r="G5" s="567"/>
      <c r="H5" s="567"/>
      <c r="I5" s="567" t="s">
        <v>129</v>
      </c>
    </row>
    <row r="6" spans="1:9" ht="57" x14ac:dyDescent="0.25">
      <c r="A6" s="567"/>
      <c r="B6" s="567"/>
      <c r="C6" s="8" t="s">
        <v>130</v>
      </c>
      <c r="D6" s="8" t="s">
        <v>131</v>
      </c>
      <c r="E6" s="8" t="s">
        <v>132</v>
      </c>
      <c r="F6" s="8" t="s">
        <v>130</v>
      </c>
      <c r="G6" s="8" t="s">
        <v>131</v>
      </c>
      <c r="H6" s="8" t="s">
        <v>132</v>
      </c>
      <c r="I6" s="567"/>
    </row>
    <row r="7" spans="1:9" x14ac:dyDescent="0.25">
      <c r="A7" s="8" t="s">
        <v>15</v>
      </c>
      <c r="B7" s="8" t="s">
        <v>16</v>
      </c>
      <c r="C7" s="8">
        <v>1</v>
      </c>
      <c r="D7" s="8">
        <v>2</v>
      </c>
      <c r="E7" s="8">
        <v>3</v>
      </c>
      <c r="F7" s="8">
        <v>4</v>
      </c>
      <c r="G7" s="8">
        <v>5</v>
      </c>
      <c r="H7" s="8">
        <v>6</v>
      </c>
      <c r="I7" s="8">
        <v>7</v>
      </c>
    </row>
    <row r="8" spans="1:9" x14ac:dyDescent="0.25">
      <c r="A8" s="10"/>
      <c r="B8" s="8" t="s">
        <v>133</v>
      </c>
      <c r="C8" s="10"/>
      <c r="D8" s="10"/>
      <c r="E8" s="10"/>
      <c r="F8" s="10"/>
      <c r="G8" s="10"/>
      <c r="H8" s="10"/>
      <c r="I8" s="10"/>
    </row>
    <row r="9" spans="1:9" x14ac:dyDescent="0.25">
      <c r="A9" s="10"/>
      <c r="B9" s="11" t="s">
        <v>134</v>
      </c>
      <c r="C9" s="10"/>
      <c r="D9" s="10"/>
      <c r="E9" s="10"/>
      <c r="F9" s="10"/>
      <c r="G9" s="10"/>
      <c r="H9" s="10"/>
      <c r="I9" s="10"/>
    </row>
    <row r="10" spans="1:9" x14ac:dyDescent="0.25">
      <c r="A10" s="10" t="s">
        <v>22</v>
      </c>
      <c r="B10" s="11" t="s">
        <v>135</v>
      </c>
      <c r="C10" s="10"/>
      <c r="D10" s="10"/>
      <c r="E10" s="10"/>
      <c r="F10" s="10"/>
      <c r="G10" s="10"/>
      <c r="H10" s="10"/>
      <c r="I10" s="10"/>
    </row>
    <row r="11" spans="1:9" x14ac:dyDescent="0.25">
      <c r="A11" s="10" t="s">
        <v>22</v>
      </c>
      <c r="B11" s="11" t="s">
        <v>136</v>
      </c>
      <c r="C11" s="10"/>
      <c r="D11" s="10"/>
      <c r="E11" s="10"/>
      <c r="F11" s="10"/>
      <c r="G11" s="10"/>
      <c r="H11" s="10"/>
      <c r="I11" s="10"/>
    </row>
    <row r="12" spans="1:9" x14ac:dyDescent="0.25">
      <c r="A12" s="8" t="s">
        <v>83</v>
      </c>
      <c r="B12" s="9" t="s">
        <v>137</v>
      </c>
      <c r="C12" s="10"/>
      <c r="D12" s="10"/>
      <c r="E12" s="10"/>
      <c r="F12" s="10"/>
      <c r="G12" s="10"/>
      <c r="H12" s="10"/>
      <c r="I12" s="10"/>
    </row>
    <row r="13" spans="1:9" x14ac:dyDescent="0.25">
      <c r="A13" s="10"/>
      <c r="B13" s="11" t="s">
        <v>134</v>
      </c>
      <c r="C13" s="10"/>
      <c r="D13" s="10"/>
      <c r="E13" s="10"/>
      <c r="F13" s="10"/>
      <c r="G13" s="10"/>
      <c r="H13" s="10"/>
      <c r="I13" s="10"/>
    </row>
    <row r="14" spans="1:9" x14ac:dyDescent="0.25">
      <c r="A14" s="10" t="s">
        <v>22</v>
      </c>
      <c r="B14" s="11" t="s">
        <v>135</v>
      </c>
      <c r="C14" s="10"/>
      <c r="D14" s="10"/>
      <c r="E14" s="10"/>
      <c r="F14" s="10"/>
      <c r="G14" s="10"/>
      <c r="H14" s="10"/>
      <c r="I14" s="10"/>
    </row>
    <row r="15" spans="1:9" x14ac:dyDescent="0.25">
      <c r="A15" s="10" t="s">
        <v>22</v>
      </c>
      <c r="B15" s="11" t="s">
        <v>136</v>
      </c>
      <c r="C15" s="10"/>
      <c r="D15" s="10"/>
      <c r="E15" s="10"/>
      <c r="F15" s="10"/>
      <c r="G15" s="10"/>
      <c r="H15" s="10"/>
      <c r="I15" s="10"/>
    </row>
    <row r="16" spans="1:9" x14ac:dyDescent="0.25">
      <c r="A16" s="10">
        <v>1</v>
      </c>
      <c r="B16" s="11" t="s">
        <v>138</v>
      </c>
      <c r="C16" s="10"/>
      <c r="D16" s="10"/>
      <c r="E16" s="10"/>
      <c r="F16" s="10"/>
      <c r="G16" s="10"/>
      <c r="H16" s="10"/>
      <c r="I16" s="10"/>
    </row>
    <row r="17" spans="1:9" ht="30" x14ac:dyDescent="0.25">
      <c r="A17" s="10">
        <v>2</v>
      </c>
      <c r="B17" s="11" t="s">
        <v>139</v>
      </c>
      <c r="C17" s="10"/>
      <c r="D17" s="10"/>
      <c r="E17" s="10"/>
      <c r="F17" s="10"/>
      <c r="G17" s="10"/>
      <c r="H17" s="10"/>
      <c r="I17" s="10"/>
    </row>
    <row r="18" spans="1:9" ht="30" x14ac:dyDescent="0.25">
      <c r="A18" s="10">
        <v>3</v>
      </c>
      <c r="B18" s="11" t="s">
        <v>140</v>
      </c>
      <c r="C18" s="10"/>
      <c r="D18" s="10"/>
      <c r="E18" s="10"/>
      <c r="F18" s="10"/>
      <c r="G18" s="10"/>
      <c r="H18" s="10"/>
      <c r="I18" s="10"/>
    </row>
    <row r="19" spans="1:9" x14ac:dyDescent="0.25">
      <c r="A19" s="10">
        <v>4</v>
      </c>
      <c r="B19" s="11" t="s">
        <v>141</v>
      </c>
      <c r="C19" s="10"/>
      <c r="D19" s="10"/>
      <c r="E19" s="10"/>
      <c r="F19" s="10"/>
      <c r="G19" s="10"/>
      <c r="H19" s="10"/>
      <c r="I19" s="10"/>
    </row>
    <row r="20" spans="1:9" ht="28.5" x14ac:dyDescent="0.25">
      <c r="A20" s="8" t="s">
        <v>70</v>
      </c>
      <c r="B20" s="9" t="s">
        <v>142</v>
      </c>
      <c r="C20" s="10"/>
      <c r="D20" s="10"/>
      <c r="E20" s="10"/>
      <c r="F20" s="10"/>
      <c r="G20" s="10"/>
      <c r="H20" s="10"/>
      <c r="I20" s="10"/>
    </row>
    <row r="21" spans="1:9" x14ac:dyDescent="0.25">
      <c r="A21" s="10"/>
      <c r="B21" s="11" t="s">
        <v>134</v>
      </c>
      <c r="C21" s="10"/>
      <c r="D21" s="10"/>
      <c r="E21" s="10"/>
      <c r="F21" s="10"/>
      <c r="G21" s="10"/>
      <c r="H21" s="10"/>
      <c r="I21" s="10"/>
    </row>
    <row r="22" spans="1:9" x14ac:dyDescent="0.25">
      <c r="A22" s="10" t="s">
        <v>22</v>
      </c>
      <c r="B22" s="11" t="s">
        <v>135</v>
      </c>
      <c r="C22" s="10"/>
      <c r="D22" s="10"/>
      <c r="E22" s="10"/>
      <c r="F22" s="10"/>
      <c r="G22" s="10"/>
      <c r="H22" s="10"/>
      <c r="I22" s="10"/>
    </row>
    <row r="23" spans="1:9" x14ac:dyDescent="0.25">
      <c r="A23" s="10" t="s">
        <v>22</v>
      </c>
      <c r="B23" s="11" t="s">
        <v>136</v>
      </c>
      <c r="C23" s="10"/>
      <c r="D23" s="10"/>
      <c r="E23" s="10"/>
      <c r="F23" s="10"/>
      <c r="G23" s="10"/>
      <c r="H23" s="10"/>
      <c r="I23" s="10"/>
    </row>
    <row r="24" spans="1:9" ht="28.5" x14ac:dyDescent="0.25">
      <c r="A24" s="8">
        <v>1</v>
      </c>
      <c r="B24" s="9" t="s">
        <v>143</v>
      </c>
      <c r="C24" s="10"/>
      <c r="D24" s="10"/>
      <c r="E24" s="10"/>
      <c r="F24" s="10"/>
      <c r="G24" s="10"/>
      <c r="H24" s="10"/>
      <c r="I24" s="10"/>
    </row>
    <row r="25" spans="1:9" x14ac:dyDescent="0.25">
      <c r="A25" s="10"/>
      <c r="B25" s="11" t="s">
        <v>134</v>
      </c>
      <c r="C25" s="10"/>
      <c r="D25" s="10"/>
      <c r="E25" s="10"/>
      <c r="F25" s="10"/>
      <c r="G25" s="10"/>
      <c r="H25" s="10"/>
      <c r="I25" s="10"/>
    </row>
    <row r="26" spans="1:9" x14ac:dyDescent="0.25">
      <c r="A26" s="10" t="s">
        <v>22</v>
      </c>
      <c r="B26" s="11" t="s">
        <v>135</v>
      </c>
      <c r="C26" s="10"/>
      <c r="D26" s="10"/>
      <c r="E26" s="10"/>
      <c r="F26" s="10"/>
      <c r="G26" s="10"/>
      <c r="H26" s="10"/>
      <c r="I26" s="10"/>
    </row>
    <row r="27" spans="1:9" x14ac:dyDescent="0.25">
      <c r="A27" s="10" t="s">
        <v>22</v>
      </c>
      <c r="B27" s="11" t="s">
        <v>136</v>
      </c>
      <c r="C27" s="10"/>
      <c r="D27" s="10"/>
      <c r="E27" s="10"/>
      <c r="F27" s="10"/>
      <c r="G27" s="10"/>
      <c r="H27" s="10"/>
      <c r="I27" s="10"/>
    </row>
    <row r="28" spans="1:9" x14ac:dyDescent="0.25">
      <c r="A28" s="10" t="s">
        <v>144</v>
      </c>
      <c r="B28" s="12" t="s">
        <v>145</v>
      </c>
      <c r="C28" s="10"/>
      <c r="D28" s="10"/>
      <c r="E28" s="10"/>
      <c r="F28" s="10"/>
      <c r="G28" s="10"/>
      <c r="H28" s="10"/>
      <c r="I28" s="10"/>
    </row>
    <row r="29" spans="1:9" x14ac:dyDescent="0.25">
      <c r="A29" s="10"/>
      <c r="B29" s="11" t="s">
        <v>134</v>
      </c>
      <c r="C29" s="10"/>
      <c r="D29" s="10"/>
      <c r="E29" s="10"/>
      <c r="F29" s="10"/>
      <c r="G29" s="10"/>
      <c r="H29" s="10"/>
      <c r="I29" s="10"/>
    </row>
    <row r="30" spans="1:9" x14ac:dyDescent="0.25">
      <c r="A30" s="10" t="s">
        <v>22</v>
      </c>
      <c r="B30" s="11" t="s">
        <v>135</v>
      </c>
      <c r="C30" s="10"/>
      <c r="D30" s="10"/>
      <c r="E30" s="10"/>
      <c r="F30" s="10"/>
      <c r="G30" s="10"/>
      <c r="H30" s="10"/>
      <c r="I30" s="10"/>
    </row>
    <row r="31" spans="1:9" x14ac:dyDescent="0.25">
      <c r="A31" s="10" t="s">
        <v>22</v>
      </c>
      <c r="B31" s="11" t="s">
        <v>136</v>
      </c>
      <c r="C31" s="10"/>
      <c r="D31" s="10"/>
      <c r="E31" s="10"/>
      <c r="F31" s="10"/>
      <c r="G31" s="10"/>
      <c r="H31" s="10"/>
      <c r="I31" s="10"/>
    </row>
    <row r="32" spans="1:9" x14ac:dyDescent="0.25">
      <c r="A32" s="10" t="s">
        <v>146</v>
      </c>
      <c r="B32" s="12" t="s">
        <v>147</v>
      </c>
      <c r="C32" s="10"/>
      <c r="D32" s="10"/>
      <c r="E32" s="10"/>
      <c r="F32" s="10"/>
      <c r="G32" s="10"/>
      <c r="H32" s="10"/>
      <c r="I32" s="10"/>
    </row>
    <row r="33" spans="1:9" x14ac:dyDescent="0.25">
      <c r="A33" s="10"/>
      <c r="B33" s="11" t="s">
        <v>148</v>
      </c>
      <c r="C33" s="10"/>
      <c r="D33" s="10"/>
      <c r="E33" s="10"/>
      <c r="F33" s="10"/>
      <c r="G33" s="10"/>
      <c r="H33" s="10"/>
      <c r="I33" s="10"/>
    </row>
    <row r="34" spans="1:9" x14ac:dyDescent="0.25">
      <c r="A34" s="10" t="s">
        <v>149</v>
      </c>
      <c r="B34" s="12" t="s">
        <v>150</v>
      </c>
      <c r="C34" s="10"/>
      <c r="D34" s="10"/>
      <c r="E34" s="10"/>
      <c r="F34" s="10"/>
      <c r="G34" s="10"/>
      <c r="H34" s="10"/>
      <c r="I34" s="10"/>
    </row>
    <row r="35" spans="1:9" x14ac:dyDescent="0.25">
      <c r="A35" s="8">
        <v>2</v>
      </c>
      <c r="B35" s="9" t="s">
        <v>151</v>
      </c>
      <c r="C35" s="10"/>
      <c r="D35" s="10"/>
      <c r="E35" s="10"/>
      <c r="F35" s="10"/>
      <c r="G35" s="10"/>
      <c r="H35" s="10"/>
      <c r="I35" s="10"/>
    </row>
    <row r="36" spans="1:9" x14ac:dyDescent="0.25">
      <c r="A36" s="10"/>
      <c r="B36" s="11" t="s">
        <v>134</v>
      </c>
      <c r="C36" s="10"/>
      <c r="D36" s="10"/>
      <c r="E36" s="10"/>
      <c r="F36" s="10"/>
      <c r="G36" s="10"/>
      <c r="H36" s="10"/>
      <c r="I36" s="10"/>
    </row>
    <row r="37" spans="1:9" x14ac:dyDescent="0.25">
      <c r="A37" s="10" t="s">
        <v>22</v>
      </c>
      <c r="B37" s="11" t="s">
        <v>135</v>
      </c>
      <c r="C37" s="10"/>
      <c r="D37" s="10"/>
      <c r="E37" s="10"/>
      <c r="F37" s="10"/>
      <c r="G37" s="10"/>
      <c r="H37" s="10"/>
      <c r="I37" s="10"/>
    </row>
    <row r="38" spans="1:9" x14ac:dyDescent="0.25">
      <c r="A38" s="10" t="s">
        <v>22</v>
      </c>
      <c r="B38" s="11" t="s">
        <v>136</v>
      </c>
      <c r="C38" s="10"/>
      <c r="D38" s="10"/>
      <c r="E38" s="10"/>
      <c r="F38" s="10"/>
      <c r="G38" s="10"/>
      <c r="H38" s="10"/>
      <c r="I38" s="10"/>
    </row>
    <row r="39" spans="1:9" x14ac:dyDescent="0.25">
      <c r="A39" s="10" t="s">
        <v>144</v>
      </c>
      <c r="B39" s="12" t="s">
        <v>152</v>
      </c>
      <c r="C39" s="10"/>
      <c r="D39" s="10"/>
      <c r="E39" s="10"/>
      <c r="F39" s="10"/>
      <c r="G39" s="10"/>
      <c r="H39" s="10"/>
      <c r="I39" s="10"/>
    </row>
    <row r="40" spans="1:9" x14ac:dyDescent="0.25">
      <c r="A40" s="10"/>
      <c r="B40" s="11" t="s">
        <v>134</v>
      </c>
      <c r="C40" s="10"/>
      <c r="D40" s="10"/>
      <c r="E40" s="10"/>
      <c r="F40" s="10"/>
      <c r="G40" s="10"/>
      <c r="H40" s="10"/>
      <c r="I40" s="10"/>
    </row>
    <row r="41" spans="1:9" x14ac:dyDescent="0.25">
      <c r="A41" s="10" t="s">
        <v>22</v>
      </c>
      <c r="B41" s="11" t="s">
        <v>135</v>
      </c>
      <c r="C41" s="10"/>
      <c r="D41" s="10"/>
      <c r="E41" s="10"/>
      <c r="F41" s="10"/>
      <c r="G41" s="10"/>
      <c r="H41" s="10"/>
      <c r="I41" s="10"/>
    </row>
    <row r="42" spans="1:9" x14ac:dyDescent="0.25">
      <c r="A42" s="10" t="s">
        <v>22</v>
      </c>
      <c r="B42" s="11" t="s">
        <v>136</v>
      </c>
      <c r="C42" s="10"/>
      <c r="D42" s="10"/>
      <c r="E42" s="10"/>
      <c r="F42" s="10"/>
      <c r="G42" s="10"/>
      <c r="H42" s="10"/>
      <c r="I42" s="10"/>
    </row>
    <row r="43" spans="1:9" x14ac:dyDescent="0.25">
      <c r="A43" s="10" t="s">
        <v>146</v>
      </c>
      <c r="B43" s="12" t="s">
        <v>153</v>
      </c>
      <c r="C43" s="10"/>
      <c r="D43" s="10"/>
      <c r="E43" s="10"/>
      <c r="F43" s="10"/>
      <c r="G43" s="10"/>
      <c r="H43" s="10"/>
      <c r="I43" s="10"/>
    </row>
    <row r="44" spans="1:9" x14ac:dyDescent="0.25">
      <c r="A44" s="10"/>
      <c r="B44" s="11" t="s">
        <v>154</v>
      </c>
      <c r="C44" s="10"/>
      <c r="D44" s="10"/>
      <c r="E44" s="10"/>
      <c r="F44" s="10"/>
      <c r="G44" s="10"/>
      <c r="H44" s="10"/>
      <c r="I44" s="10"/>
    </row>
    <row r="45" spans="1:9" x14ac:dyDescent="0.25">
      <c r="A45" s="10" t="s">
        <v>149</v>
      </c>
      <c r="B45" s="12" t="s">
        <v>150</v>
      </c>
      <c r="C45" s="10"/>
      <c r="D45" s="10"/>
      <c r="E45" s="10"/>
      <c r="F45" s="10"/>
      <c r="G45" s="10"/>
      <c r="H45" s="10"/>
      <c r="I45" s="10"/>
    </row>
    <row r="46" spans="1:9" ht="28.5" x14ac:dyDescent="0.25">
      <c r="A46" s="8" t="s">
        <v>73</v>
      </c>
      <c r="B46" s="9" t="s">
        <v>155</v>
      </c>
      <c r="C46" s="10"/>
      <c r="D46" s="10"/>
      <c r="E46" s="10"/>
      <c r="F46" s="10"/>
      <c r="G46" s="10"/>
      <c r="H46" s="10"/>
      <c r="I46" s="10"/>
    </row>
    <row r="47" spans="1:9" x14ac:dyDescent="0.25">
      <c r="A47" s="10">
        <v>1</v>
      </c>
      <c r="B47" s="11" t="s">
        <v>156</v>
      </c>
      <c r="C47" s="10"/>
      <c r="D47" s="10"/>
      <c r="E47" s="10"/>
      <c r="F47" s="10"/>
      <c r="G47" s="10"/>
      <c r="H47" s="10"/>
      <c r="I47" s="10"/>
    </row>
    <row r="48" spans="1:9" x14ac:dyDescent="0.25">
      <c r="A48" s="10">
        <v>2</v>
      </c>
      <c r="B48" s="11" t="s">
        <v>136</v>
      </c>
      <c r="C48" s="10"/>
      <c r="D48" s="10"/>
      <c r="E48" s="10"/>
      <c r="F48" s="10"/>
      <c r="G48" s="10"/>
      <c r="H48" s="10"/>
      <c r="I48" s="10"/>
    </row>
    <row r="49" spans="1:1" x14ac:dyDescent="0.25">
      <c r="A49" s="13" t="s">
        <v>157</v>
      </c>
    </row>
    <row r="50" spans="1:1" x14ac:dyDescent="0.25">
      <c r="A50" s="13" t="s">
        <v>158</v>
      </c>
    </row>
  </sheetData>
  <mergeCells count="9">
    <mergeCell ref="A1:I1"/>
    <mergeCell ref="A2:I2"/>
    <mergeCell ref="A3:I3"/>
    <mergeCell ref="H4:I4"/>
    <mergeCell ref="A5:A6"/>
    <mergeCell ref="B5:B6"/>
    <mergeCell ref="C5:E5"/>
    <mergeCell ref="F5:H5"/>
    <mergeCell ref="I5:I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FF00"/>
  </sheetPr>
  <dimension ref="A1:S36"/>
  <sheetViews>
    <sheetView workbookViewId="0">
      <selection activeCell="A2" sqref="A2:S2"/>
    </sheetView>
  </sheetViews>
  <sheetFormatPr defaultRowHeight="15" x14ac:dyDescent="0.25"/>
  <cols>
    <col min="1" max="1" width="6.5703125" customWidth="1"/>
    <col min="2" max="2" width="22.28515625" customWidth="1"/>
    <col min="3" max="4" width="9.5703125" bestFit="1" customWidth="1"/>
    <col min="6" max="8" width="9.5703125" bestFit="1" customWidth="1"/>
    <col min="15" max="15" width="11.28515625" bestFit="1" customWidth="1"/>
  </cols>
  <sheetData>
    <row r="1" spans="1:19" ht="15.75" x14ac:dyDescent="0.25">
      <c r="S1" s="25" t="s">
        <v>678</v>
      </c>
    </row>
    <row r="2" spans="1:19" ht="15.75" x14ac:dyDescent="0.25">
      <c r="A2" s="551" t="s">
        <v>1359</v>
      </c>
      <c r="B2" s="551"/>
      <c r="C2" s="551"/>
      <c r="D2" s="551"/>
      <c r="E2" s="551"/>
      <c r="F2" s="551"/>
      <c r="G2" s="551"/>
      <c r="H2" s="551"/>
      <c r="I2" s="551"/>
      <c r="J2" s="551"/>
      <c r="K2" s="551"/>
      <c r="L2" s="551"/>
      <c r="M2" s="551"/>
      <c r="N2" s="551"/>
      <c r="O2" s="551"/>
      <c r="P2" s="551"/>
      <c r="Q2" s="551"/>
      <c r="R2" s="551"/>
      <c r="S2" s="551"/>
    </row>
    <row r="3" spans="1:19" ht="16.5" customHeight="1" x14ac:dyDescent="0.25">
      <c r="A3" s="587" t="s">
        <v>1341</v>
      </c>
      <c r="B3" s="587"/>
      <c r="C3" s="587"/>
      <c r="D3" s="587"/>
      <c r="E3" s="587"/>
      <c r="F3" s="587"/>
      <c r="G3" s="587"/>
      <c r="H3" s="587"/>
      <c r="I3" s="587"/>
      <c r="J3" s="587"/>
      <c r="K3" s="587"/>
      <c r="L3" s="587"/>
      <c r="M3" s="587"/>
      <c r="N3" s="587"/>
      <c r="O3" s="587"/>
      <c r="P3" s="587"/>
      <c r="Q3" s="587"/>
      <c r="R3" s="587"/>
      <c r="S3" s="587"/>
    </row>
    <row r="4" spans="1:19" ht="15.75" x14ac:dyDescent="0.25">
      <c r="S4" s="26" t="s">
        <v>56</v>
      </c>
    </row>
    <row r="5" spans="1:19" ht="15.75" x14ac:dyDescent="0.25">
      <c r="A5" s="595" t="s">
        <v>3</v>
      </c>
      <c r="B5" s="595" t="s">
        <v>522</v>
      </c>
      <c r="C5" s="595" t="s">
        <v>130</v>
      </c>
      <c r="D5" s="595" t="s">
        <v>162</v>
      </c>
      <c r="E5" s="595"/>
      <c r="F5" s="595" t="s">
        <v>1297</v>
      </c>
      <c r="G5" s="595"/>
      <c r="H5" s="595"/>
      <c r="I5" s="595"/>
      <c r="J5" s="595"/>
      <c r="K5" s="595"/>
      <c r="L5" s="595"/>
      <c r="M5" s="595" t="s">
        <v>1298</v>
      </c>
      <c r="N5" s="595"/>
      <c r="O5" s="595"/>
      <c r="P5" s="595"/>
      <c r="Q5" s="595"/>
      <c r="R5" s="595"/>
      <c r="S5" s="595"/>
    </row>
    <row r="6" spans="1:19" ht="24" customHeight="1" x14ac:dyDescent="0.25">
      <c r="A6" s="595"/>
      <c r="B6" s="595"/>
      <c r="C6" s="595"/>
      <c r="D6" s="595" t="s">
        <v>695</v>
      </c>
      <c r="E6" s="595" t="s">
        <v>696</v>
      </c>
      <c r="F6" s="595" t="s">
        <v>130</v>
      </c>
      <c r="G6" s="595" t="s">
        <v>695</v>
      </c>
      <c r="H6" s="595"/>
      <c r="I6" s="595"/>
      <c r="J6" s="595" t="s">
        <v>696</v>
      </c>
      <c r="K6" s="595"/>
      <c r="L6" s="595"/>
      <c r="M6" s="595" t="s">
        <v>130</v>
      </c>
      <c r="N6" s="595" t="s">
        <v>695</v>
      </c>
      <c r="O6" s="595"/>
      <c r="P6" s="595"/>
      <c r="Q6" s="595" t="s">
        <v>696</v>
      </c>
      <c r="R6" s="595"/>
      <c r="S6" s="595"/>
    </row>
    <row r="7" spans="1:19" ht="61.5" customHeight="1" x14ac:dyDescent="0.25">
      <c r="A7" s="595"/>
      <c r="B7" s="595"/>
      <c r="C7" s="595"/>
      <c r="D7" s="595"/>
      <c r="E7" s="595"/>
      <c r="F7" s="595"/>
      <c r="G7" s="29" t="s">
        <v>130</v>
      </c>
      <c r="H7" s="29" t="s">
        <v>135</v>
      </c>
      <c r="I7" s="29" t="s">
        <v>697</v>
      </c>
      <c r="J7" s="29" t="s">
        <v>130</v>
      </c>
      <c r="K7" s="29" t="s">
        <v>135</v>
      </c>
      <c r="L7" s="29" t="s">
        <v>697</v>
      </c>
      <c r="M7" s="595"/>
      <c r="N7" s="29" t="s">
        <v>130</v>
      </c>
      <c r="O7" s="29" t="s">
        <v>135</v>
      </c>
      <c r="P7" s="29" t="s">
        <v>697</v>
      </c>
      <c r="Q7" s="29" t="s">
        <v>130</v>
      </c>
      <c r="R7" s="29" t="s">
        <v>135</v>
      </c>
      <c r="S7" s="29" t="s">
        <v>697</v>
      </c>
    </row>
    <row r="8" spans="1:19" ht="31.5" x14ac:dyDescent="0.25">
      <c r="A8" s="29" t="s">
        <v>15</v>
      </c>
      <c r="B8" s="29" t="s">
        <v>16</v>
      </c>
      <c r="C8" s="29" t="s">
        <v>543</v>
      </c>
      <c r="D8" s="29" t="s">
        <v>698</v>
      </c>
      <c r="E8" s="29" t="s">
        <v>699</v>
      </c>
      <c r="F8" s="29" t="s">
        <v>700</v>
      </c>
      <c r="G8" s="29" t="s">
        <v>701</v>
      </c>
      <c r="H8" s="29">
        <v>6</v>
      </c>
      <c r="I8" s="29">
        <v>7</v>
      </c>
      <c r="J8" s="29" t="s">
        <v>702</v>
      </c>
      <c r="K8" s="29">
        <v>9</v>
      </c>
      <c r="L8" s="29">
        <v>10</v>
      </c>
      <c r="M8" s="29" t="s">
        <v>703</v>
      </c>
      <c r="N8" s="29" t="s">
        <v>704</v>
      </c>
      <c r="O8" s="29">
        <v>13</v>
      </c>
      <c r="P8" s="29">
        <v>14</v>
      </c>
      <c r="Q8" s="29" t="s">
        <v>705</v>
      </c>
      <c r="R8" s="29">
        <v>16</v>
      </c>
      <c r="S8" s="29">
        <v>17</v>
      </c>
    </row>
    <row r="9" spans="1:19" ht="49.5" customHeight="1" x14ac:dyDescent="0.25">
      <c r="A9" s="29"/>
      <c r="B9" s="30" t="s">
        <v>133</v>
      </c>
      <c r="C9" s="66">
        <f>C10</f>
        <v>0</v>
      </c>
      <c r="D9" s="66">
        <f t="shared" ref="D9:R9" si="0">D10</f>
        <v>0</v>
      </c>
      <c r="E9" s="66">
        <f t="shared" si="0"/>
        <v>0</v>
      </c>
      <c r="F9" s="66">
        <f t="shared" si="0"/>
        <v>0</v>
      </c>
      <c r="G9" s="66">
        <f t="shared" si="0"/>
        <v>0</v>
      </c>
      <c r="H9" s="66">
        <f t="shared" si="0"/>
        <v>0</v>
      </c>
      <c r="I9" s="66">
        <f t="shared" si="0"/>
        <v>0</v>
      </c>
      <c r="J9" s="66">
        <f t="shared" si="0"/>
        <v>0</v>
      </c>
      <c r="K9" s="66">
        <f t="shared" si="0"/>
        <v>0</v>
      </c>
      <c r="L9" s="66">
        <f t="shared" si="0"/>
        <v>0</v>
      </c>
      <c r="M9" s="66">
        <f t="shared" si="0"/>
        <v>0</v>
      </c>
      <c r="N9" s="66">
        <f t="shared" si="0"/>
        <v>0</v>
      </c>
      <c r="O9" s="66">
        <f t="shared" si="0"/>
        <v>0</v>
      </c>
      <c r="P9" s="66">
        <f t="shared" si="0"/>
        <v>0</v>
      </c>
      <c r="Q9" s="66">
        <f t="shared" si="0"/>
        <v>0</v>
      </c>
      <c r="R9" s="66">
        <f t="shared" si="0"/>
        <v>0</v>
      </c>
      <c r="S9" s="65"/>
    </row>
    <row r="10" spans="1:19" ht="49.5" customHeight="1" x14ac:dyDescent="0.25">
      <c r="A10" s="99" t="s">
        <v>1042</v>
      </c>
      <c r="B10" s="31" t="s">
        <v>1041</v>
      </c>
      <c r="C10" s="65">
        <f>D10+E10</f>
        <v>0</v>
      </c>
      <c r="D10" s="65">
        <f>F10+M10</f>
        <v>0</v>
      </c>
      <c r="E10" s="65"/>
      <c r="F10" s="65">
        <f>G10+J10</f>
        <v>0</v>
      </c>
      <c r="G10" s="65">
        <f>SUM(H10:I10)</f>
        <v>0</v>
      </c>
      <c r="H10" s="65"/>
      <c r="I10" s="65"/>
      <c r="J10" s="65"/>
      <c r="K10" s="65"/>
      <c r="L10" s="65"/>
      <c r="M10" s="65">
        <f>N10</f>
        <v>0</v>
      </c>
      <c r="N10" s="65">
        <f>O10+P10</f>
        <v>0</v>
      </c>
      <c r="O10" s="65"/>
      <c r="P10" s="65"/>
      <c r="Q10" s="65">
        <f>SUM(R10:S10)</f>
        <v>0</v>
      </c>
      <c r="R10" s="65"/>
      <c r="S10" s="65"/>
    </row>
    <row r="11" spans="1:19" ht="15.75" x14ac:dyDescent="0.25">
      <c r="A11" s="28"/>
      <c r="B11" s="31"/>
      <c r="C11" s="28"/>
      <c r="D11" s="28"/>
      <c r="E11" s="28"/>
      <c r="F11" s="28"/>
      <c r="G11" s="28"/>
      <c r="H11" s="28"/>
      <c r="I11" s="28"/>
      <c r="J11" s="28"/>
      <c r="K11" s="28"/>
      <c r="L11" s="28"/>
      <c r="M11" s="28"/>
      <c r="N11" s="28"/>
      <c r="O11" s="28"/>
      <c r="P11" s="28"/>
      <c r="Q11" s="28"/>
      <c r="R11" s="28"/>
      <c r="S11" s="28"/>
    </row>
    <row r="12" spans="1:19" ht="42.75" customHeight="1" x14ac:dyDescent="0.25">
      <c r="A12" s="592" t="s">
        <v>708</v>
      </c>
      <c r="B12" s="592"/>
      <c r="C12" s="592"/>
      <c r="D12" s="592"/>
      <c r="E12" s="592"/>
      <c r="F12" s="592"/>
      <c r="G12" s="592"/>
      <c r="H12" s="592"/>
      <c r="I12" s="592"/>
      <c r="J12" s="592"/>
      <c r="K12" s="592"/>
      <c r="L12" s="592"/>
      <c r="M12" s="592"/>
      <c r="N12" s="592"/>
      <c r="O12" s="592"/>
      <c r="P12" s="592"/>
      <c r="Q12" s="592"/>
      <c r="R12" s="592"/>
      <c r="S12" s="592"/>
    </row>
    <row r="13" spans="1:19" x14ac:dyDescent="0.25">
      <c r="A13" s="40"/>
    </row>
    <row r="14" spans="1:19" x14ac:dyDescent="0.25">
      <c r="A14" s="40"/>
    </row>
    <row r="15" spans="1:19" x14ac:dyDescent="0.25">
      <c r="A15" s="40"/>
    </row>
    <row r="16" spans="1:19" x14ac:dyDescent="0.25">
      <c r="A16" s="40"/>
    </row>
    <row r="17" spans="1:1" x14ac:dyDescent="0.25">
      <c r="A17" s="40"/>
    </row>
    <row r="18" spans="1:1" x14ac:dyDescent="0.25">
      <c r="A18" s="40"/>
    </row>
    <row r="19" spans="1:1" x14ac:dyDescent="0.25">
      <c r="A19" s="40"/>
    </row>
    <row r="20" spans="1:1" x14ac:dyDescent="0.25">
      <c r="A20" s="40"/>
    </row>
    <row r="21" spans="1:1" x14ac:dyDescent="0.25">
      <c r="A21" s="40"/>
    </row>
    <row r="22" spans="1:1" x14ac:dyDescent="0.25">
      <c r="A22" s="40"/>
    </row>
    <row r="23" spans="1:1" x14ac:dyDescent="0.25">
      <c r="A23" s="40"/>
    </row>
    <row r="24" spans="1:1" x14ac:dyDescent="0.25">
      <c r="A24" s="40"/>
    </row>
    <row r="25" spans="1:1" x14ac:dyDescent="0.25">
      <c r="A25" s="40"/>
    </row>
    <row r="26" spans="1:1" x14ac:dyDescent="0.25">
      <c r="A26" s="40"/>
    </row>
    <row r="27" spans="1:1" x14ac:dyDescent="0.25">
      <c r="A27" s="40"/>
    </row>
    <row r="28" spans="1:1" x14ac:dyDescent="0.25">
      <c r="A28" s="40"/>
    </row>
    <row r="29" spans="1:1" x14ac:dyDescent="0.25">
      <c r="A29" s="40"/>
    </row>
    <row r="30" spans="1:1" x14ac:dyDescent="0.25">
      <c r="A30" s="40"/>
    </row>
    <row r="31" spans="1:1" x14ac:dyDescent="0.25">
      <c r="A31" s="40"/>
    </row>
    <row r="32" spans="1:1" x14ac:dyDescent="0.25">
      <c r="A32" s="40"/>
    </row>
    <row r="33" spans="1:1" x14ac:dyDescent="0.25">
      <c r="A33" s="40"/>
    </row>
    <row r="34" spans="1:1" x14ac:dyDescent="0.25">
      <c r="A34" s="40"/>
    </row>
    <row r="35" spans="1:1" x14ac:dyDescent="0.25">
      <c r="A35" s="40"/>
    </row>
    <row r="36" spans="1:1" x14ac:dyDescent="0.25">
      <c r="A36" s="40"/>
    </row>
  </sheetData>
  <mergeCells count="17">
    <mergeCell ref="A2:S2"/>
    <mergeCell ref="A5:A7"/>
    <mergeCell ref="B5:B7"/>
    <mergeCell ref="C5:C7"/>
    <mergeCell ref="D5:E5"/>
    <mergeCell ref="A12:S12"/>
    <mergeCell ref="J6:L6"/>
    <mergeCell ref="M6:M7"/>
    <mergeCell ref="N6:P6"/>
    <mergeCell ref="Q6:S6"/>
    <mergeCell ref="A3:S3"/>
    <mergeCell ref="F5:L5"/>
    <mergeCell ref="M5:S5"/>
    <mergeCell ref="D6:D7"/>
    <mergeCell ref="E6:E7"/>
    <mergeCell ref="F6:F7"/>
    <mergeCell ref="G6:I6"/>
  </mergeCells>
  <printOptions horizontalCentered="1"/>
  <pageMargins left="0.11811023622047245" right="0.11811023622047245" top="0.15748031496062992" bottom="0.15748031496062992" header="0.31496062992125984" footer="0.31496062992125984"/>
  <pageSetup paperSize="9" scale="75" orientation="landscape"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04"/>
  <sheetViews>
    <sheetView tabSelected="1" zoomScale="120" zoomScaleNormal="120" workbookViewId="0">
      <selection activeCell="B22" sqref="B22"/>
    </sheetView>
  </sheetViews>
  <sheetFormatPr defaultColWidth="9.28515625" defaultRowHeight="15.75" x14ac:dyDescent="0.25"/>
  <cols>
    <col min="1" max="1" width="4.7109375" style="487" customWidth="1"/>
    <col min="2" max="2" width="35.5703125" style="487" customWidth="1"/>
    <col min="3" max="3" width="8" style="488" customWidth="1"/>
    <col min="4" max="4" width="8.140625" style="487" customWidth="1"/>
    <col min="5" max="5" width="7.85546875" style="487" customWidth="1"/>
    <col min="6" max="6" width="8.28515625" style="487" customWidth="1"/>
    <col min="7" max="7" width="11.42578125" style="489" customWidth="1"/>
    <col min="8" max="8" width="12" style="490" customWidth="1"/>
    <col min="9" max="9" width="11.5703125" style="491" customWidth="1"/>
    <col min="10" max="10" width="12" style="491" customWidth="1"/>
    <col min="11" max="11" width="12.28515625" style="491" customWidth="1"/>
    <col min="12" max="12" width="8.28515625" style="491" customWidth="1"/>
    <col min="13" max="13" width="9.5703125" style="491" customWidth="1"/>
    <col min="14" max="14" width="10.28515625" style="491" customWidth="1"/>
    <col min="15" max="15" width="9.7109375" style="491" customWidth="1"/>
    <col min="16" max="16" width="9.28515625" style="491" customWidth="1"/>
    <col min="17" max="17" width="10.42578125" style="490" customWidth="1"/>
    <col min="18" max="18" width="6.5703125" style="487" customWidth="1"/>
    <col min="19" max="19" width="5.7109375" style="487" customWidth="1"/>
    <col min="20" max="20" width="6.7109375" style="487" customWidth="1"/>
    <col min="21" max="21" width="7" style="487" customWidth="1"/>
    <col min="22" max="22" width="5.7109375" style="487" customWidth="1"/>
    <col min="23" max="23" width="10.7109375" style="487" customWidth="1"/>
    <col min="24" max="24" width="9" style="487" customWidth="1"/>
    <col min="25" max="25" width="8.5703125" style="487" customWidth="1"/>
    <col min="26" max="26" width="8" style="487" customWidth="1"/>
    <col min="27" max="27" width="8.5703125" style="487" customWidth="1"/>
    <col min="28" max="16384" width="9.28515625" style="487"/>
  </cols>
  <sheetData>
    <row r="1" spans="1:17" x14ac:dyDescent="0.25">
      <c r="A1" s="628"/>
      <c r="B1" s="628"/>
      <c r="C1" s="483"/>
      <c r="D1" s="484"/>
      <c r="E1" s="484"/>
      <c r="F1" s="484"/>
      <c r="G1" s="485"/>
      <c r="H1" s="486"/>
      <c r="I1" s="486"/>
      <c r="J1" s="486"/>
      <c r="K1" s="486"/>
      <c r="L1" s="486"/>
      <c r="M1" s="486"/>
      <c r="N1" s="486"/>
      <c r="O1" s="629" t="s">
        <v>1308</v>
      </c>
      <c r="P1" s="629"/>
      <c r="Q1" s="629"/>
    </row>
    <row r="2" spans="1:17" x14ac:dyDescent="0.25">
      <c r="A2" s="630" t="s">
        <v>1735</v>
      </c>
      <c r="B2" s="630"/>
      <c r="C2" s="630"/>
      <c r="D2" s="630"/>
      <c r="E2" s="630"/>
      <c r="F2" s="630"/>
      <c r="G2" s="630"/>
      <c r="H2" s="630"/>
      <c r="I2" s="630"/>
      <c r="J2" s="630"/>
      <c r="K2" s="630"/>
      <c r="L2" s="630"/>
      <c r="M2" s="630"/>
      <c r="N2" s="630"/>
      <c r="O2" s="630"/>
      <c r="P2" s="630"/>
      <c r="Q2" s="630"/>
    </row>
    <row r="3" spans="1:17" x14ac:dyDescent="0.25">
      <c r="A3" s="631" t="str">
        <f>'DT THU NSNN MAU 32'!A3:N3</f>
        <v>(Kèm theo Tờ trình số:             /TTr-UBND ngày        /11/2024 của UBND huyện Phụng Hiệp)</v>
      </c>
      <c r="B3" s="631"/>
      <c r="C3" s="631"/>
      <c r="D3" s="631"/>
      <c r="E3" s="631"/>
      <c r="F3" s="631"/>
      <c r="G3" s="631"/>
      <c r="H3" s="631"/>
      <c r="I3" s="631"/>
      <c r="J3" s="631"/>
      <c r="K3" s="631"/>
      <c r="L3" s="631"/>
      <c r="M3" s="631"/>
      <c r="N3" s="631"/>
      <c r="O3" s="631"/>
      <c r="P3" s="631"/>
      <c r="Q3" s="631"/>
    </row>
    <row r="4" spans="1:17" x14ac:dyDescent="0.25">
      <c r="P4" s="627" t="s">
        <v>1085</v>
      </c>
      <c r="Q4" s="627"/>
    </row>
    <row r="5" spans="1:17" s="488" customFormat="1" ht="15.6" customHeight="1" x14ac:dyDescent="0.25">
      <c r="A5" s="625" t="s">
        <v>3</v>
      </c>
      <c r="B5" s="625" t="s">
        <v>1399</v>
      </c>
      <c r="C5" s="625" t="s">
        <v>1087</v>
      </c>
      <c r="D5" s="625"/>
      <c r="E5" s="625"/>
      <c r="F5" s="615" t="s">
        <v>1400</v>
      </c>
      <c r="G5" s="622" t="s">
        <v>1089</v>
      </c>
      <c r="H5" s="626" t="s">
        <v>1730</v>
      </c>
      <c r="I5" s="626"/>
      <c r="J5" s="626"/>
      <c r="K5" s="626"/>
      <c r="L5" s="626"/>
      <c r="M5" s="626"/>
      <c r="N5" s="626"/>
      <c r="O5" s="626"/>
      <c r="P5" s="626"/>
      <c r="Q5" s="626"/>
    </row>
    <row r="6" spans="1:17" s="488" customFormat="1" x14ac:dyDescent="0.25">
      <c r="A6" s="625"/>
      <c r="B6" s="625"/>
      <c r="C6" s="623" t="s">
        <v>130</v>
      </c>
      <c r="D6" s="624" t="s">
        <v>1736</v>
      </c>
      <c r="E6" s="624" t="s">
        <v>1401</v>
      </c>
      <c r="F6" s="615"/>
      <c r="G6" s="622"/>
      <c r="H6" s="626" t="s">
        <v>1090</v>
      </c>
      <c r="I6" s="626"/>
      <c r="J6" s="626"/>
      <c r="K6" s="626"/>
      <c r="L6" s="626"/>
      <c r="M6" s="626"/>
      <c r="N6" s="626"/>
      <c r="O6" s="626"/>
      <c r="P6" s="626"/>
      <c r="Q6" s="622" t="s">
        <v>1091</v>
      </c>
    </row>
    <row r="7" spans="1:17" s="488" customFormat="1" x14ac:dyDescent="0.25">
      <c r="A7" s="625"/>
      <c r="B7" s="625"/>
      <c r="C7" s="623"/>
      <c r="D7" s="624"/>
      <c r="E7" s="624"/>
      <c r="F7" s="615"/>
      <c r="G7" s="622"/>
      <c r="H7" s="622" t="s">
        <v>1092</v>
      </c>
      <c r="I7" s="626" t="s">
        <v>162</v>
      </c>
      <c r="J7" s="626"/>
      <c r="K7" s="626"/>
      <c r="L7" s="626"/>
      <c r="M7" s="626"/>
      <c r="N7" s="626"/>
      <c r="O7" s="626"/>
      <c r="P7" s="626"/>
      <c r="Q7" s="622"/>
    </row>
    <row r="8" spans="1:17" s="488" customFormat="1" x14ac:dyDescent="0.25">
      <c r="A8" s="625"/>
      <c r="B8" s="625"/>
      <c r="C8" s="623"/>
      <c r="D8" s="624"/>
      <c r="E8" s="624"/>
      <c r="F8" s="615"/>
      <c r="G8" s="622"/>
      <c r="H8" s="622"/>
      <c r="I8" s="626" t="s">
        <v>1093</v>
      </c>
      <c r="J8" s="626" t="s">
        <v>1094</v>
      </c>
      <c r="K8" s="626" t="s">
        <v>1402</v>
      </c>
      <c r="L8" s="626" t="s">
        <v>1737</v>
      </c>
      <c r="M8" s="626" t="s">
        <v>1095</v>
      </c>
      <c r="N8" s="626"/>
      <c r="O8" s="626"/>
      <c r="P8" s="626" t="s">
        <v>1276</v>
      </c>
      <c r="Q8" s="622"/>
    </row>
    <row r="9" spans="1:17" s="488" customFormat="1" ht="81" customHeight="1" x14ac:dyDescent="0.25">
      <c r="A9" s="625"/>
      <c r="B9" s="625"/>
      <c r="C9" s="623"/>
      <c r="D9" s="625"/>
      <c r="E9" s="625"/>
      <c r="F9" s="615"/>
      <c r="G9" s="622"/>
      <c r="H9" s="622"/>
      <c r="I9" s="626"/>
      <c r="J9" s="626"/>
      <c r="K9" s="626"/>
      <c r="L9" s="626"/>
      <c r="M9" s="492" t="s">
        <v>1561</v>
      </c>
      <c r="N9" s="492" t="s">
        <v>1562</v>
      </c>
      <c r="O9" s="492" t="s">
        <v>1563</v>
      </c>
      <c r="P9" s="626"/>
      <c r="Q9" s="622"/>
    </row>
    <row r="10" spans="1:17" s="493" customFormat="1" ht="23.25" customHeight="1" x14ac:dyDescent="0.25">
      <c r="A10" s="532" t="s">
        <v>146</v>
      </c>
      <c r="B10" s="532" t="s">
        <v>146</v>
      </c>
      <c r="C10" s="533" t="s">
        <v>543</v>
      </c>
      <c r="D10" s="532">
        <v>2</v>
      </c>
      <c r="E10" s="532">
        <v>3</v>
      </c>
      <c r="F10" s="534">
        <v>4</v>
      </c>
      <c r="G10" s="535" t="s">
        <v>1738</v>
      </c>
      <c r="H10" s="530" t="s">
        <v>1783</v>
      </c>
      <c r="I10" s="536" t="s">
        <v>1048</v>
      </c>
      <c r="J10" s="536" t="s">
        <v>1049</v>
      </c>
      <c r="K10" s="536" t="s">
        <v>1050</v>
      </c>
      <c r="L10" s="536" t="s">
        <v>1051</v>
      </c>
      <c r="M10" s="536" t="s">
        <v>1052</v>
      </c>
      <c r="N10" s="536" t="s">
        <v>1373</v>
      </c>
      <c r="O10" s="536" t="s">
        <v>1739</v>
      </c>
      <c r="P10" s="536" t="s">
        <v>1398</v>
      </c>
      <c r="Q10" s="536" t="s">
        <v>1426</v>
      </c>
    </row>
    <row r="11" spans="1:17" s="488" customFormat="1" x14ac:dyDescent="0.25">
      <c r="A11" s="202"/>
      <c r="B11" s="202" t="s">
        <v>1096</v>
      </c>
      <c r="C11" s="496">
        <f>C12</f>
        <v>1783</v>
      </c>
      <c r="D11" s="496">
        <f>D12</f>
        <v>1687</v>
      </c>
      <c r="E11" s="496">
        <f>E12</f>
        <v>96</v>
      </c>
      <c r="F11" s="496">
        <f>F12</f>
        <v>950</v>
      </c>
      <c r="G11" s="494">
        <f>G12+G80+G81+G89+G96</f>
        <v>420620.86097907997</v>
      </c>
      <c r="H11" s="494">
        <f>H12+H80+H81+H89</f>
        <v>367383.12756951991</v>
      </c>
      <c r="I11" s="494">
        <f t="shared" ref="I11:Q11" si="0">I12+I80+I81+I89</f>
        <v>193787.63351999994</v>
      </c>
      <c r="J11" s="494">
        <f t="shared" si="0"/>
        <v>53631.122753519994</v>
      </c>
      <c r="K11" s="494">
        <f t="shared" si="0"/>
        <v>93448.027295999986</v>
      </c>
      <c r="L11" s="494">
        <f>L12+L80+L81+L89</f>
        <v>0</v>
      </c>
      <c r="M11" s="494">
        <f t="shared" si="0"/>
        <v>10954.8</v>
      </c>
      <c r="N11" s="494">
        <f t="shared" si="0"/>
        <v>2872.3085999999994</v>
      </c>
      <c r="O11" s="494">
        <f t="shared" si="0"/>
        <v>8161.2353999999996</v>
      </c>
      <c r="P11" s="494">
        <f t="shared" si="0"/>
        <v>4528</v>
      </c>
      <c r="Q11" s="494">
        <f t="shared" si="0"/>
        <v>63260.842009560001</v>
      </c>
    </row>
    <row r="12" spans="1:17" s="495" customFormat="1" x14ac:dyDescent="0.2">
      <c r="A12" s="453" t="s">
        <v>15</v>
      </c>
      <c r="B12" s="453" t="s">
        <v>1541</v>
      </c>
      <c r="C12" s="496">
        <f>C66+C31+C13</f>
        <v>1783</v>
      </c>
      <c r="D12" s="496">
        <f>D66+D31+D13</f>
        <v>1687</v>
      </c>
      <c r="E12" s="496">
        <f>E66+E31+E13</f>
        <v>96</v>
      </c>
      <c r="F12" s="496">
        <f>F66+F31+F13</f>
        <v>950</v>
      </c>
      <c r="G12" s="494">
        <f>G66+G31+G13</f>
        <v>360412.86097907997</v>
      </c>
      <c r="H12" s="497">
        <f>SUM(I12:O12)</f>
        <v>362855.12756951991</v>
      </c>
      <c r="I12" s="494">
        <f t="shared" ref="I12:Q12" si="1">I66+I31+I13</f>
        <v>193787.63351999994</v>
      </c>
      <c r="J12" s="494">
        <f>J66+J31+J13</f>
        <v>53631.122753519994</v>
      </c>
      <c r="K12" s="494">
        <f t="shared" si="1"/>
        <v>93448.027295999986</v>
      </c>
      <c r="L12" s="494">
        <f>L66+L31+L13</f>
        <v>0</v>
      </c>
      <c r="M12" s="494">
        <f t="shared" si="1"/>
        <v>10954.8</v>
      </c>
      <c r="N12" s="494">
        <f t="shared" si="1"/>
        <v>2872.3085999999994</v>
      </c>
      <c r="O12" s="494">
        <f t="shared" si="1"/>
        <v>8161.2353999999996</v>
      </c>
      <c r="P12" s="494">
        <f t="shared" si="1"/>
        <v>0</v>
      </c>
      <c r="Q12" s="498">
        <f t="shared" si="1"/>
        <v>11384.842009560001</v>
      </c>
    </row>
    <row r="13" spans="1:17" s="499" customFormat="1" x14ac:dyDescent="0.25">
      <c r="A13" s="496" t="s">
        <v>83</v>
      </c>
      <c r="B13" s="496" t="s">
        <v>1403</v>
      </c>
      <c r="C13" s="496">
        <f>SUM(C14:C30)</f>
        <v>450</v>
      </c>
      <c r="D13" s="496">
        <f t="shared" ref="D13:Q13" si="2">SUM(D14:D30)</f>
        <v>404</v>
      </c>
      <c r="E13" s="496">
        <f t="shared" si="2"/>
        <v>46</v>
      </c>
      <c r="F13" s="496">
        <f t="shared" si="2"/>
        <v>208</v>
      </c>
      <c r="G13" s="494">
        <f>SUM(G14:G30)</f>
        <v>70359.708171720005</v>
      </c>
      <c r="H13" s="494">
        <f>SUM(H14:H30)</f>
        <v>67139.431214759999</v>
      </c>
      <c r="I13" s="494">
        <f>SUM(I14:I30)</f>
        <v>39288.805919999992</v>
      </c>
      <c r="J13" s="494">
        <f t="shared" si="2"/>
        <v>10250.296790759998</v>
      </c>
      <c r="K13" s="494">
        <f>SUM(K14:K30)</f>
        <v>16291.561103999997</v>
      </c>
      <c r="L13" s="494">
        <f>SUM(L14:L30)</f>
        <v>0</v>
      </c>
      <c r="M13" s="494">
        <f>SUM(M14:M30)</f>
        <v>2496</v>
      </c>
      <c r="N13" s="494">
        <f>SUM(N14:N30)</f>
        <v>1229.9525999999998</v>
      </c>
      <c r="O13" s="494">
        <f t="shared" si="2"/>
        <v>1308.7674000000002</v>
      </c>
      <c r="P13" s="494">
        <f t="shared" si="2"/>
        <v>0</v>
      </c>
      <c r="Q13" s="494">
        <f t="shared" si="2"/>
        <v>3220.27695696</v>
      </c>
    </row>
    <row r="14" spans="1:17" x14ac:dyDescent="0.25">
      <c r="A14" s="500" t="s">
        <v>1404</v>
      </c>
      <c r="B14" s="381" t="s">
        <v>1405</v>
      </c>
      <c r="C14" s="501">
        <f>SUM(D14:E14)</f>
        <v>30</v>
      </c>
      <c r="D14" s="502">
        <f>'[2]GD THEO DINH MUC'!Q12</f>
        <v>27</v>
      </c>
      <c r="E14" s="502">
        <f>'[2]GD THEO DINH MUC'!R12</f>
        <v>3</v>
      </c>
      <c r="F14" s="503">
        <f>'[2]GD THEO DINH MUC'!H12</f>
        <v>13</v>
      </c>
      <c r="G14" s="504">
        <f>H14+Q14</f>
        <v>4956.4733459999998</v>
      </c>
      <c r="H14" s="505">
        <f>SUM(I14+J14+K14+L14+O14)</f>
        <v>4745.68815</v>
      </c>
      <c r="I14" s="506">
        <f>(7.29+89.44+2.15)*12*2.34</f>
        <v>2776.5504000000001</v>
      </c>
      <c r="J14" s="506">
        <f>(7.29+89.44+2.15+0.299+11.996)*12*2.34*23.5%</f>
        <v>733.62159000000008</v>
      </c>
      <c r="K14" s="506">
        <f>(11.996+0.1+0.299+31.357)*12*2.34</f>
        <v>1228.5561599999996</v>
      </c>
      <c r="L14" s="506"/>
      <c r="M14" s="505">
        <f>'[2]GD THEO DINH MUC'!J12</f>
        <v>156</v>
      </c>
      <c r="N14" s="504">
        <f>'[2]GD THEO DINH MUC'!O12</f>
        <v>149.03999999999996</v>
      </c>
      <c r="O14" s="504">
        <f>M14-N14</f>
        <v>6.9600000000000364</v>
      </c>
      <c r="P14" s="504"/>
      <c r="Q14" s="505">
        <f>'[2]GD THEO DINH MUC'!AD12</f>
        <v>210.78519599999998</v>
      </c>
    </row>
    <row r="15" spans="1:17" x14ac:dyDescent="0.25">
      <c r="A15" s="500" t="s">
        <v>1406</v>
      </c>
      <c r="B15" s="381" t="s">
        <v>1407</v>
      </c>
      <c r="C15" s="501">
        <f t="shared" ref="C15:C30" si="3">SUM(D15:E15)</f>
        <v>20</v>
      </c>
      <c r="D15" s="502">
        <f>'[2]GD THEO DINH MUC'!Q13</f>
        <v>17</v>
      </c>
      <c r="E15" s="502">
        <f>'[2]GD THEO DINH MUC'!R13</f>
        <v>3</v>
      </c>
      <c r="F15" s="503">
        <f>'[2]GD THEO DINH MUC'!H13</f>
        <v>11</v>
      </c>
      <c r="G15" s="504">
        <f>H15+Q15</f>
        <v>2913.6295991999996</v>
      </c>
      <c r="H15" s="505">
        <f>SUM(I15+J15+K15+L15+O15)</f>
        <v>2757.5937887999994</v>
      </c>
      <c r="I15" s="506">
        <f>(49.9+1.8+6.135)*12*2.34</f>
        <v>1624.0067999999999</v>
      </c>
      <c r="J15" s="506">
        <f>(49.9+1.8+6.135+5.741)*12*2.34*23.5%</f>
        <v>419.52530879999989</v>
      </c>
      <c r="K15" s="506">
        <f>(5.741+0.1+16.705)*12*2.34</f>
        <v>633.09168</v>
      </c>
      <c r="L15" s="506"/>
      <c r="M15" s="505">
        <f>'[2]GD THEO DINH MUC'!J13</f>
        <v>132</v>
      </c>
      <c r="N15" s="504">
        <f>'[2]GD THEO DINH MUC'!O13</f>
        <v>51.030000000000008</v>
      </c>
      <c r="O15" s="504">
        <f t="shared" ref="O15:O78" si="4">M15-N15</f>
        <v>80.97</v>
      </c>
      <c r="P15" s="504"/>
      <c r="Q15" s="505">
        <f>'[2]GD THEO DINH MUC'!AD13</f>
        <v>156.0358104</v>
      </c>
    </row>
    <row r="16" spans="1:17" x14ac:dyDescent="0.25">
      <c r="A16" s="500" t="s">
        <v>1408</v>
      </c>
      <c r="B16" s="381" t="s">
        <v>1409</v>
      </c>
      <c r="C16" s="501">
        <f t="shared" si="3"/>
        <v>30</v>
      </c>
      <c r="D16" s="502">
        <f>'[2]GD THEO DINH MUC'!Q14</f>
        <v>29</v>
      </c>
      <c r="E16" s="502">
        <f>'[2]GD THEO DINH MUC'!R14</f>
        <v>1</v>
      </c>
      <c r="F16" s="503">
        <f>'[2]GD THEO DINH MUC'!H14</f>
        <v>15</v>
      </c>
      <c r="G16" s="504">
        <f t="shared" ref="G16:G30" si="5">H16+Q16</f>
        <v>4964.142598800001</v>
      </c>
      <c r="H16" s="505">
        <f t="shared" ref="H16:H79" si="6">SUM(I16+J16+K16+L16+O16)</f>
        <v>4731.7388832000006</v>
      </c>
      <c r="I16" s="506">
        <f>(92.37+2.65+1.48)*12*2.34</f>
        <v>2709.7200000000003</v>
      </c>
      <c r="J16" s="506">
        <f>(92.37+2.65+1.48+11.064)*12*2.34*23.5%</f>
        <v>709.79332320000003</v>
      </c>
      <c r="K16" s="506">
        <f>(11.064+0.1+32.018)*12*2.34</f>
        <v>1212.5505599999999</v>
      </c>
      <c r="L16" s="506"/>
      <c r="M16" s="505">
        <f>'[2]GD THEO DINH MUC'!J14</f>
        <v>180</v>
      </c>
      <c r="N16" s="504">
        <f>'[2]GD THEO DINH MUC'!O14</f>
        <v>80.325000000000017</v>
      </c>
      <c r="O16" s="504">
        <f t="shared" si="4"/>
        <v>99.674999999999983</v>
      </c>
      <c r="P16" s="504"/>
      <c r="Q16" s="505">
        <f>'[2]GD THEO DINH MUC'!AD14</f>
        <v>232.4037156</v>
      </c>
    </row>
    <row r="17" spans="1:17" x14ac:dyDescent="0.25">
      <c r="A17" s="500" t="s">
        <v>1410</v>
      </c>
      <c r="B17" s="381" t="s">
        <v>1411</v>
      </c>
      <c r="C17" s="501">
        <f t="shared" si="3"/>
        <v>33</v>
      </c>
      <c r="D17" s="502">
        <f>'[2]GD THEO DINH MUC'!Q15</f>
        <v>31</v>
      </c>
      <c r="E17" s="502">
        <f>'[2]GD THEO DINH MUC'!R15</f>
        <v>2</v>
      </c>
      <c r="F17" s="503">
        <f>'[2]GD THEO DINH MUC'!H15</f>
        <v>15</v>
      </c>
      <c r="G17" s="504">
        <f t="shared" si="5"/>
        <v>5328.0288283199998</v>
      </c>
      <c r="H17" s="505">
        <f t="shared" si="6"/>
        <v>5094.1563883199997</v>
      </c>
      <c r="I17" s="506">
        <f>(97.27+2.3+4.42)*12*2.34</f>
        <v>2920.0391999999997</v>
      </c>
      <c r="J17" s="506">
        <f>(97.27+2.3+4.42+0.249+12.5974)*12*2.34*23.5%</f>
        <v>770.98003631999984</v>
      </c>
      <c r="K17" s="506">
        <f>(0.249+12.5974+0.1+33.628)*12*2.34</f>
        <v>1307.8091519999998</v>
      </c>
      <c r="L17" s="506"/>
      <c r="M17" s="505">
        <f>'[2]GD THEO DINH MUC'!J15</f>
        <v>180</v>
      </c>
      <c r="N17" s="504">
        <f>'[2]GD THEO DINH MUC'!O15</f>
        <v>84.671999999999997</v>
      </c>
      <c r="O17" s="504">
        <f t="shared" si="4"/>
        <v>95.328000000000003</v>
      </c>
      <c r="P17" s="504"/>
      <c r="Q17" s="505">
        <f>'[2]GD THEO DINH MUC'!AD15</f>
        <v>233.87243999999998</v>
      </c>
    </row>
    <row r="18" spans="1:17" x14ac:dyDescent="0.25">
      <c r="A18" s="500" t="s">
        <v>1412</v>
      </c>
      <c r="B18" s="381" t="s">
        <v>1413</v>
      </c>
      <c r="C18" s="501">
        <f t="shared" si="3"/>
        <v>43</v>
      </c>
      <c r="D18" s="502">
        <f>'[2]GD THEO DINH MUC'!Q16</f>
        <v>38</v>
      </c>
      <c r="E18" s="502">
        <f>'[2]GD THEO DINH MUC'!R16</f>
        <v>5</v>
      </c>
      <c r="F18" s="503">
        <f>'[2]GD THEO DINH MUC'!H16</f>
        <v>18</v>
      </c>
      <c r="G18" s="504">
        <f t="shared" si="5"/>
        <v>6580.5313167600007</v>
      </c>
      <c r="H18" s="505">
        <f t="shared" si="6"/>
        <v>6285.1193244000006</v>
      </c>
      <c r="I18" s="506">
        <f>(12.59+117.5+2.45)*12*2.34</f>
        <v>3721.7231999999999</v>
      </c>
      <c r="J18" s="506">
        <f>(12.59+117.5+2.45+13.023)*12*2.34*23.5%</f>
        <v>960.54112439999983</v>
      </c>
      <c r="K18" s="506">
        <f>(13.023+0.1+39.827)*12*2.34</f>
        <v>1486.8359999999998</v>
      </c>
      <c r="L18" s="506"/>
      <c r="M18" s="505">
        <f>'[2]GD THEO DINH MUC'!J16</f>
        <v>216</v>
      </c>
      <c r="N18" s="504">
        <f>'[2]GD THEO DINH MUC'!O16</f>
        <v>99.980999999999995</v>
      </c>
      <c r="O18" s="504">
        <f t="shared" si="4"/>
        <v>116.01900000000001</v>
      </c>
      <c r="P18" s="504"/>
      <c r="Q18" s="505">
        <f>'[2]GD THEO DINH MUC'!AD16</f>
        <v>295.41199236000006</v>
      </c>
    </row>
    <row r="19" spans="1:17" x14ac:dyDescent="0.25">
      <c r="A19" s="500" t="s">
        <v>1414</v>
      </c>
      <c r="B19" s="381" t="s">
        <v>1415</v>
      </c>
      <c r="C19" s="501">
        <f t="shared" si="3"/>
        <v>42</v>
      </c>
      <c r="D19" s="502">
        <f>'[2]GD THEO DINH MUC'!Q17</f>
        <v>39</v>
      </c>
      <c r="E19" s="502">
        <f>'[2]GD THEO DINH MUC'!R17</f>
        <v>3</v>
      </c>
      <c r="F19" s="503">
        <f>'[2]GD THEO DINH MUC'!H17</f>
        <v>18</v>
      </c>
      <c r="G19" s="504">
        <f t="shared" si="5"/>
        <v>6720.4774796399997</v>
      </c>
      <c r="H19" s="505">
        <f t="shared" si="6"/>
        <v>6448.2177956400001</v>
      </c>
      <c r="I19" s="506">
        <f>(7.524+122.03+2.3)*12*2.34</f>
        <v>3702.4603199999997</v>
      </c>
      <c r="J19" s="506">
        <f>(7.524+122.03+2.3+0.5913+15.395)*12*2.34*23.5%</f>
        <v>975.56857163999985</v>
      </c>
      <c r="K19" s="506">
        <f>(15.395+0.5913+0.1+41.82)*12*2.34</f>
        <v>1626.008904</v>
      </c>
      <c r="L19" s="506"/>
      <c r="M19" s="505">
        <f>'[2]GD THEO DINH MUC'!J17</f>
        <v>216</v>
      </c>
      <c r="N19" s="504">
        <f>'[2]GD THEO DINH MUC'!O17</f>
        <v>71.819999999999993</v>
      </c>
      <c r="O19" s="504">
        <f t="shared" si="4"/>
        <v>144.18</v>
      </c>
      <c r="P19" s="504"/>
      <c r="Q19" s="505">
        <f>'[2]GD THEO DINH MUC'!AD17</f>
        <v>272.25968399999999</v>
      </c>
    </row>
    <row r="20" spans="1:17" ht="31.5" x14ac:dyDescent="0.25">
      <c r="A20" s="500" t="s">
        <v>1416</v>
      </c>
      <c r="B20" s="507" t="s">
        <v>1792</v>
      </c>
      <c r="C20" s="501">
        <f t="shared" si="3"/>
        <v>28</v>
      </c>
      <c r="D20" s="502">
        <f>'[2]GD THEO DINH MUC'!Q18</f>
        <v>26</v>
      </c>
      <c r="E20" s="502">
        <f>'[2]GD THEO DINH MUC'!R18</f>
        <v>2</v>
      </c>
      <c r="F20" s="503">
        <f>'[2]GD THEO DINH MUC'!H18</f>
        <v>14</v>
      </c>
      <c r="G20" s="504">
        <f t="shared" si="5"/>
        <v>4680.0935482800005</v>
      </c>
      <c r="H20" s="505">
        <f t="shared" si="6"/>
        <v>4465.4834137200005</v>
      </c>
      <c r="I20" s="506">
        <f>(84.48+2.15+3.925)*12*2.34</f>
        <v>2542.7844</v>
      </c>
      <c r="J20" s="506">
        <f>(84.48+2.15+3.925+11.4769)*12*2.34*23.5%</f>
        <v>673.28810171999999</v>
      </c>
      <c r="K20" s="506">
        <f>(11.4769+0.1+29.082)*12*2.34</f>
        <v>1141.701912</v>
      </c>
      <c r="L20" s="506"/>
      <c r="M20" s="505">
        <f>'[2]GD THEO DINH MUC'!J18</f>
        <v>168</v>
      </c>
      <c r="N20" s="504">
        <f>'[2]GD THEO DINH MUC'!O18</f>
        <v>60.291000000000004</v>
      </c>
      <c r="O20" s="504">
        <f t="shared" si="4"/>
        <v>107.709</v>
      </c>
      <c r="P20" s="504"/>
      <c r="Q20" s="505">
        <f>'[2]GD THEO DINH MUC'!AD18</f>
        <v>214.61013456000001</v>
      </c>
    </row>
    <row r="21" spans="1:17" x14ac:dyDescent="0.25">
      <c r="A21" s="500" t="s">
        <v>1417</v>
      </c>
      <c r="B21" s="381" t="s">
        <v>1418</v>
      </c>
      <c r="C21" s="501">
        <f t="shared" si="3"/>
        <v>24</v>
      </c>
      <c r="D21" s="502">
        <f>'[2]GD THEO DINH MUC'!Q19</f>
        <v>22</v>
      </c>
      <c r="E21" s="502">
        <f>'[2]GD THEO DINH MUC'!R19</f>
        <v>2</v>
      </c>
      <c r="F21" s="503">
        <f>'[2]GD THEO DINH MUC'!H19</f>
        <v>13</v>
      </c>
      <c r="G21" s="504">
        <f t="shared" si="5"/>
        <v>3936.9143581199996</v>
      </c>
      <c r="H21" s="505">
        <f t="shared" si="6"/>
        <v>3773.2036501199996</v>
      </c>
      <c r="I21" s="506">
        <f>(2.58+1.5+71.02+2.15)*12*2.34</f>
        <v>2169.1799999999998</v>
      </c>
      <c r="J21" s="506">
        <f>(2.58+1.5+71.02+2.15+9.6849)*12*2.34*23.5%</f>
        <v>573.66601811999999</v>
      </c>
      <c r="K21" s="506">
        <f>(9.6489+23.744)*12*2.34</f>
        <v>937.67263199999991</v>
      </c>
      <c r="L21" s="506"/>
      <c r="M21" s="505">
        <f>'[2]GD THEO DINH MUC'!J19</f>
        <v>156</v>
      </c>
      <c r="N21" s="504">
        <f>'[2]GD THEO DINH MUC'!O19</f>
        <v>63.314999999999998</v>
      </c>
      <c r="O21" s="504">
        <f t="shared" si="4"/>
        <v>92.685000000000002</v>
      </c>
      <c r="P21" s="504"/>
      <c r="Q21" s="505">
        <f>'[2]GD THEO DINH MUC'!AD19</f>
        <v>163.71070800000001</v>
      </c>
    </row>
    <row r="22" spans="1:17" x14ac:dyDescent="0.25">
      <c r="A22" s="500" t="s">
        <v>1419</v>
      </c>
      <c r="B22" s="381" t="s">
        <v>1420</v>
      </c>
      <c r="C22" s="501">
        <f t="shared" si="3"/>
        <v>34</v>
      </c>
      <c r="D22" s="502">
        <f>'[2]GD THEO DINH MUC'!Q20</f>
        <v>27</v>
      </c>
      <c r="E22" s="502">
        <f>'[2]GD THEO DINH MUC'!R20</f>
        <v>7</v>
      </c>
      <c r="F22" s="503">
        <f>'[2]GD THEO DINH MUC'!H20</f>
        <v>13</v>
      </c>
      <c r="G22" s="504">
        <f t="shared" si="5"/>
        <v>4971.9750776399997</v>
      </c>
      <c r="H22" s="505">
        <f t="shared" si="6"/>
        <v>4762.0898816399995</v>
      </c>
      <c r="I22" s="506">
        <f>(84.55+2.15+17.18)*12*2.34</f>
        <v>2916.9503999999997</v>
      </c>
      <c r="J22" s="506">
        <f>(84.55+2.15+17.18+9.6553)*12*2.34*23.5%</f>
        <v>749.19673763999981</v>
      </c>
      <c r="K22" s="506">
        <f>(9.6553+0.1+29.274)*12*2.34</f>
        <v>1095.9427439999999</v>
      </c>
      <c r="L22" s="506"/>
      <c r="M22" s="505">
        <f>'[2]GD THEO DINH MUC'!J20</f>
        <v>156</v>
      </c>
      <c r="N22" s="504">
        <f>'[2]GD THEO DINH MUC'!O20</f>
        <v>198.72</v>
      </c>
      <c r="O22" s="504"/>
      <c r="P22" s="504"/>
      <c r="Q22" s="505">
        <f>'[2]GD THEO DINH MUC'!AD20</f>
        <v>209.88519600000001</v>
      </c>
    </row>
    <row r="23" spans="1:17" x14ac:dyDescent="0.25">
      <c r="A23" s="500" t="s">
        <v>1051</v>
      </c>
      <c r="B23" s="381" t="s">
        <v>1421</v>
      </c>
      <c r="C23" s="501">
        <f t="shared" si="3"/>
        <v>25</v>
      </c>
      <c r="D23" s="502">
        <f>'[2]GD THEO DINH MUC'!Q21</f>
        <v>22</v>
      </c>
      <c r="E23" s="502">
        <f>'[2]GD THEO DINH MUC'!R21</f>
        <v>3</v>
      </c>
      <c r="F23" s="503">
        <f>'[2]GD THEO DINH MUC'!H21</f>
        <v>14</v>
      </c>
      <c r="G23" s="504">
        <f t="shared" si="5"/>
        <v>3758.4794873999995</v>
      </c>
      <c r="H23" s="505">
        <f t="shared" si="6"/>
        <v>3568.3097243999996</v>
      </c>
      <c r="I23" s="506">
        <f>(71.08+2.15+4.63)*12*2.34</f>
        <v>2186.3087999999998</v>
      </c>
      <c r="J23" s="506">
        <f>(71.08+2.15+4.63+8.903)*12*2.34*23.5%</f>
        <v>572.5316843999999</v>
      </c>
      <c r="K23" s="506">
        <f>(0.903+0.1+24.5)*12*2.34</f>
        <v>716.12423999999999</v>
      </c>
      <c r="L23" s="506"/>
      <c r="M23" s="505">
        <f>'[2]GD THEO DINH MUC'!J21</f>
        <v>168</v>
      </c>
      <c r="N23" s="504">
        <f>'[2]GD THEO DINH MUC'!O21</f>
        <v>74.655000000000001</v>
      </c>
      <c r="O23" s="504">
        <f t="shared" si="4"/>
        <v>93.344999999999999</v>
      </c>
      <c r="P23" s="504"/>
      <c r="Q23" s="505">
        <f>'[2]GD THEO DINH MUC'!AD21</f>
        <v>190.16976299999999</v>
      </c>
    </row>
    <row r="24" spans="1:17" x14ac:dyDescent="0.25">
      <c r="A24" s="500" t="s">
        <v>1052</v>
      </c>
      <c r="B24" s="381" t="s">
        <v>1422</v>
      </c>
      <c r="C24" s="501">
        <f t="shared" si="3"/>
        <v>19</v>
      </c>
      <c r="D24" s="502">
        <f>'[2]GD THEO DINH MUC'!Q22</f>
        <v>16</v>
      </c>
      <c r="E24" s="502">
        <f>'[2]GD THEO DINH MUC'!R22</f>
        <v>3</v>
      </c>
      <c r="F24" s="503">
        <f>'[2]GD THEO DINH MUC'!H22</f>
        <v>8</v>
      </c>
      <c r="G24" s="504">
        <f t="shared" si="5"/>
        <v>2823.5859094800003</v>
      </c>
      <c r="H24" s="505">
        <f t="shared" si="6"/>
        <v>2663.6968896000003</v>
      </c>
      <c r="I24" s="506">
        <f>(6.38+49.26+2)*12*2.34</f>
        <v>1618.5312000000001</v>
      </c>
      <c r="J24" s="506">
        <f>(6.38+49.26+2+0.33+5.422)*12*2.34*23.5%</f>
        <v>418.3111295999999</v>
      </c>
      <c r="K24" s="506">
        <f>(0.33+5.422+0.1+16.45)*12*2.34</f>
        <v>626.24016000000006</v>
      </c>
      <c r="L24" s="506"/>
      <c r="M24" s="505">
        <f>'[2]GD THEO DINH MUC'!J22</f>
        <v>96</v>
      </c>
      <c r="N24" s="504">
        <f>'[2]GD THEO DINH MUC'!O22</f>
        <v>95.385599999999997</v>
      </c>
      <c r="O24" s="504">
        <f t="shared" si="4"/>
        <v>0.61440000000000339</v>
      </c>
      <c r="P24" s="504"/>
      <c r="Q24" s="505">
        <f>'[2]GD THEO DINH MUC'!AD22</f>
        <v>159.88901988000001</v>
      </c>
    </row>
    <row r="25" spans="1:17" x14ac:dyDescent="0.25">
      <c r="A25" s="500" t="s">
        <v>1373</v>
      </c>
      <c r="B25" s="381" t="s">
        <v>1423</v>
      </c>
      <c r="C25" s="501">
        <f t="shared" si="3"/>
        <v>18</v>
      </c>
      <c r="D25" s="502">
        <f>'[2]GD THEO DINH MUC'!Q23</f>
        <v>16</v>
      </c>
      <c r="E25" s="502">
        <f>'[2]GD THEO DINH MUC'!R23</f>
        <v>2</v>
      </c>
      <c r="F25" s="503">
        <f>'[2]GD THEO DINH MUC'!H23</f>
        <v>9</v>
      </c>
      <c r="G25" s="504">
        <f t="shared" si="5"/>
        <v>2690.5019639999996</v>
      </c>
      <c r="H25" s="505">
        <f t="shared" si="6"/>
        <v>2576.8657439999997</v>
      </c>
      <c r="I25" s="506">
        <f>(2.95+48.48+2)*12*2.34</f>
        <v>1500.3143999999998</v>
      </c>
      <c r="J25" s="506">
        <f>(2.95+48.48+2+5.55)*12*2.34*23.5%</f>
        <v>389.19722399999995</v>
      </c>
      <c r="K25" s="506">
        <f>(5.545+0.1+15.694)*12*2.34</f>
        <v>599.19911999999988</v>
      </c>
      <c r="L25" s="506"/>
      <c r="M25" s="505">
        <f>'[2]GD THEO DINH MUC'!J23</f>
        <v>108</v>
      </c>
      <c r="N25" s="504">
        <f>'[2]GD THEO DINH MUC'!O23</f>
        <v>19.844999999999999</v>
      </c>
      <c r="O25" s="504">
        <f t="shared" si="4"/>
        <v>88.155000000000001</v>
      </c>
      <c r="P25" s="504"/>
      <c r="Q25" s="505">
        <f>'[2]GD THEO DINH MUC'!AD23</f>
        <v>113.63622000000001</v>
      </c>
    </row>
    <row r="26" spans="1:17" x14ac:dyDescent="0.25">
      <c r="A26" s="500" t="s">
        <v>1397</v>
      </c>
      <c r="B26" s="381" t="s">
        <v>1424</v>
      </c>
      <c r="C26" s="501">
        <f t="shared" si="3"/>
        <v>25</v>
      </c>
      <c r="D26" s="502">
        <f>'[2]GD THEO DINH MUC'!Q24</f>
        <v>24</v>
      </c>
      <c r="E26" s="502">
        <f>'[2]GD THEO DINH MUC'!R24</f>
        <v>1</v>
      </c>
      <c r="F26" s="503">
        <f>'[2]GD THEO DINH MUC'!H24</f>
        <v>9</v>
      </c>
      <c r="G26" s="504">
        <f t="shared" si="5"/>
        <v>4006.1206950000001</v>
      </c>
      <c r="H26" s="505">
        <f t="shared" si="6"/>
        <v>3818.650932</v>
      </c>
      <c r="I26" s="506">
        <f>(75.29+1.95+2.06)*12*2.34</f>
        <v>2226.7440000000001</v>
      </c>
      <c r="J26" s="506">
        <f>(75.29+1.95+2.06+8.09)*12*2.34*23.5%</f>
        <v>576.6691320000001</v>
      </c>
      <c r="K26" s="506">
        <f>(8.09+0.1+25.795)*12*2.34</f>
        <v>954.29879999999991</v>
      </c>
      <c r="L26" s="506"/>
      <c r="M26" s="505">
        <f>'[2]GD THEO DINH MUC'!J24</f>
        <v>108</v>
      </c>
      <c r="N26" s="504">
        <f>'[2]GD THEO DINH MUC'!O24</f>
        <v>47.061000000000007</v>
      </c>
      <c r="O26" s="504">
        <f t="shared" si="4"/>
        <v>60.938999999999993</v>
      </c>
      <c r="P26" s="504"/>
      <c r="Q26" s="505">
        <f>'[2]GD THEO DINH MUC'!AD24</f>
        <v>187.469763</v>
      </c>
    </row>
    <row r="27" spans="1:17" x14ac:dyDescent="0.25">
      <c r="A27" s="500" t="s">
        <v>1398</v>
      </c>
      <c r="B27" s="381" t="s">
        <v>1425</v>
      </c>
      <c r="C27" s="501">
        <f t="shared" si="3"/>
        <v>22</v>
      </c>
      <c r="D27" s="502">
        <f>'[2]GD THEO DINH MUC'!Q25</f>
        <v>20</v>
      </c>
      <c r="E27" s="502">
        <f>'[2]GD THEO DINH MUC'!R25</f>
        <v>2</v>
      </c>
      <c r="F27" s="503">
        <f>'[2]GD THEO DINH MUC'!H25</f>
        <v>10</v>
      </c>
      <c r="G27" s="504">
        <f t="shared" si="5"/>
        <v>3414.2570607600001</v>
      </c>
      <c r="H27" s="505">
        <f t="shared" si="6"/>
        <v>3253.9276693199999</v>
      </c>
      <c r="I27" s="506">
        <f>(5.02+60.7+2)*12*2.34</f>
        <v>1901.5775999999998</v>
      </c>
      <c r="J27" s="506">
        <f>(5.02+60.7+2+6.9389)*12*2.34*23.5%</f>
        <v>492.65914931999993</v>
      </c>
      <c r="K27" s="506">
        <f>(6.939+0.1+20.71)*12*2.34</f>
        <v>779.1919200000001</v>
      </c>
      <c r="L27" s="506"/>
      <c r="M27" s="505">
        <f>'[2]GD THEO DINH MUC'!J25</f>
        <v>120</v>
      </c>
      <c r="N27" s="504">
        <f>'[2]GD THEO DINH MUC'!O25</f>
        <v>39.501000000000005</v>
      </c>
      <c r="O27" s="504">
        <f t="shared" si="4"/>
        <v>80.498999999999995</v>
      </c>
      <c r="P27" s="504"/>
      <c r="Q27" s="505">
        <f>'[2]GD THEO DINH MUC'!AD25</f>
        <v>160.32939143999999</v>
      </c>
    </row>
    <row r="28" spans="1:17" x14ac:dyDescent="0.25">
      <c r="A28" s="500" t="s">
        <v>1426</v>
      </c>
      <c r="B28" s="381" t="s">
        <v>1427</v>
      </c>
      <c r="C28" s="501">
        <f t="shared" si="3"/>
        <v>23</v>
      </c>
      <c r="D28" s="502">
        <f>'[2]GD THEO DINH MUC'!Q26</f>
        <v>21</v>
      </c>
      <c r="E28" s="502">
        <f>'[2]GD THEO DINH MUC'!R26</f>
        <v>2</v>
      </c>
      <c r="F28" s="503">
        <f>'[2]GD THEO DINH MUC'!H26</f>
        <v>12</v>
      </c>
      <c r="G28" s="504">
        <f t="shared" si="5"/>
        <v>3638.7351339599995</v>
      </c>
      <c r="H28" s="505">
        <f t="shared" si="6"/>
        <v>3459.4589519999995</v>
      </c>
      <c r="I28" s="506">
        <f>(65.86+1.8+2.95)*12*2.34</f>
        <v>1982.7287999999996</v>
      </c>
      <c r="J28" s="506">
        <f>(65.86+1.8+2.95+8.23)*12*2.34*23.5%</f>
        <v>520.24939200000006</v>
      </c>
      <c r="K28" s="506">
        <f>(8.23+0.1+22.442)*12*2.34</f>
        <v>864.07776000000001</v>
      </c>
      <c r="L28" s="506"/>
      <c r="M28" s="505">
        <f>'[2]GD THEO DINH MUC'!J26</f>
        <v>144</v>
      </c>
      <c r="N28" s="504">
        <f>'[2]GD THEO DINH MUC'!O26</f>
        <v>51.597000000000008</v>
      </c>
      <c r="O28" s="504">
        <f t="shared" si="4"/>
        <v>92.402999999999992</v>
      </c>
      <c r="P28" s="504"/>
      <c r="Q28" s="505">
        <f>'[2]GD THEO DINH MUC'!AD26</f>
        <v>179.27618196000003</v>
      </c>
    </row>
    <row r="29" spans="1:17" x14ac:dyDescent="0.25">
      <c r="A29" s="500" t="s">
        <v>1428</v>
      </c>
      <c r="B29" s="381" t="s">
        <v>1429</v>
      </c>
      <c r="C29" s="501">
        <f t="shared" si="3"/>
        <v>21</v>
      </c>
      <c r="D29" s="502">
        <f>'[2]GD THEO DINH MUC'!Q27</f>
        <v>19</v>
      </c>
      <c r="E29" s="502">
        <f>'[2]GD THEO DINH MUC'!R27</f>
        <v>2</v>
      </c>
      <c r="F29" s="503">
        <f>'[2]GD THEO DINH MUC'!H27</f>
        <v>10</v>
      </c>
      <c r="G29" s="504">
        <f t="shared" si="5"/>
        <v>3071.3223755999998</v>
      </c>
      <c r="H29" s="505">
        <f t="shared" si="6"/>
        <v>2920.1989116</v>
      </c>
      <c r="I29" s="506">
        <f>(53.01+1.95+5.64)*12*2.34</f>
        <v>1701.6479999999999</v>
      </c>
      <c r="J29" s="506">
        <f>(53.01+1.95+5.64+5.007)*12*2.34*23.5%</f>
        <v>432.92747159999993</v>
      </c>
      <c r="K29" s="506">
        <f>(5.007+19.236)*12*2.34</f>
        <v>680.74344000000008</v>
      </c>
      <c r="L29" s="506"/>
      <c r="M29" s="505">
        <f>'[2]GD THEO DINH MUC'!J27</f>
        <v>120</v>
      </c>
      <c r="N29" s="504">
        <f>'[2]GD THEO DINH MUC'!O27</f>
        <v>15.120000000000001</v>
      </c>
      <c r="O29" s="504">
        <f t="shared" si="4"/>
        <v>104.88</v>
      </c>
      <c r="P29" s="504"/>
      <c r="Q29" s="505">
        <f>'[2]GD THEO DINH MUC'!AD27</f>
        <v>151.12346400000001</v>
      </c>
    </row>
    <row r="30" spans="1:17" x14ac:dyDescent="0.25">
      <c r="A30" s="500" t="s">
        <v>1430</v>
      </c>
      <c r="B30" s="381" t="s">
        <v>1431</v>
      </c>
      <c r="C30" s="501">
        <f t="shared" si="3"/>
        <v>13</v>
      </c>
      <c r="D30" s="502">
        <f>'[2]GD THEO DINH MUC'!Q28</f>
        <v>10</v>
      </c>
      <c r="E30" s="502">
        <f>'[2]GD THEO DINH MUC'!R28</f>
        <v>3</v>
      </c>
      <c r="F30" s="503">
        <f>'[2]GD THEO DINH MUC'!H28</f>
        <v>6</v>
      </c>
      <c r="G30" s="504">
        <f t="shared" si="5"/>
        <v>1904.4393927600001</v>
      </c>
      <c r="H30" s="505">
        <f t="shared" si="6"/>
        <v>1815.0311160000001</v>
      </c>
      <c r="I30" s="506">
        <f>(7.12+30.41+1.2)*12*2.34</f>
        <v>1087.5384000000001</v>
      </c>
      <c r="J30" s="506">
        <f>(7.12+30.41+1.2+3.94)*12*2.34*23.5%</f>
        <v>281.57079599999997</v>
      </c>
      <c r="K30" s="506">
        <f>(3.94+0.1+10.259)*12*2.34</f>
        <v>401.51591999999994</v>
      </c>
      <c r="L30" s="506"/>
      <c r="M30" s="505">
        <f>'[2]GD THEO DINH MUC'!J28</f>
        <v>72</v>
      </c>
      <c r="N30" s="504">
        <f>'[2]GD THEO DINH MUC'!O28</f>
        <v>27.594000000000001</v>
      </c>
      <c r="O30" s="504">
        <f t="shared" si="4"/>
        <v>44.405999999999999</v>
      </c>
      <c r="P30" s="504"/>
      <c r="Q30" s="505">
        <f>'[2]GD THEO DINH MUC'!AD28</f>
        <v>89.408276760000007</v>
      </c>
    </row>
    <row r="31" spans="1:17" s="499" customFormat="1" x14ac:dyDescent="0.25">
      <c r="A31" s="508" t="s">
        <v>70</v>
      </c>
      <c r="B31" s="509" t="s">
        <v>1432</v>
      </c>
      <c r="C31" s="496">
        <f t="shared" ref="C31:P31" si="7">SUM(C32:C65)</f>
        <v>883</v>
      </c>
      <c r="D31" s="496">
        <f t="shared" si="7"/>
        <v>846</v>
      </c>
      <c r="E31" s="496">
        <f t="shared" si="7"/>
        <v>37</v>
      </c>
      <c r="F31" s="496">
        <f>SUM(F32:F65)</f>
        <v>521</v>
      </c>
      <c r="G31" s="494">
        <f t="shared" si="7"/>
        <v>190952.7605988</v>
      </c>
      <c r="H31" s="494">
        <f t="shared" si="7"/>
        <v>185481.61786019991</v>
      </c>
      <c r="I31" s="494">
        <f t="shared" si="7"/>
        <v>99643.929839999968</v>
      </c>
      <c r="J31" s="494">
        <f t="shared" si="7"/>
        <v>28094.6978442</v>
      </c>
      <c r="K31" s="494">
        <f t="shared" si="7"/>
        <v>51803.590175999998</v>
      </c>
      <c r="L31" s="494">
        <f t="shared" si="7"/>
        <v>0</v>
      </c>
      <c r="M31" s="494">
        <f t="shared" si="7"/>
        <v>5939.4</v>
      </c>
      <c r="N31" s="494">
        <f t="shared" si="7"/>
        <v>0</v>
      </c>
      <c r="O31" s="494">
        <f t="shared" si="7"/>
        <v>5939.4</v>
      </c>
      <c r="P31" s="494">
        <f t="shared" si="7"/>
        <v>0</v>
      </c>
      <c r="Q31" s="494">
        <f>SUM(Q32:Q65)</f>
        <v>5471.1427386000005</v>
      </c>
    </row>
    <row r="32" spans="1:17" x14ac:dyDescent="0.25">
      <c r="A32" s="500" t="s">
        <v>1433</v>
      </c>
      <c r="B32" s="381" t="s">
        <v>1434</v>
      </c>
      <c r="C32" s="501">
        <f t="shared" ref="C32:C65" si="8">SUM(D32:E32)</f>
        <v>17</v>
      </c>
      <c r="D32" s="502">
        <f>'[2]GD THEO DINH MUC'!Q30</f>
        <v>16</v>
      </c>
      <c r="E32" s="502">
        <f>'[2]GD THEO DINH MUC'!R30</f>
        <v>1</v>
      </c>
      <c r="F32" s="503">
        <f>'[2]GD THEO DINH MUC'!H30</f>
        <v>10</v>
      </c>
      <c r="G32" s="504">
        <f t="shared" ref="G32:G65" si="9">H32+Q32</f>
        <v>3841.3464356399995</v>
      </c>
      <c r="H32" s="505">
        <f t="shared" si="6"/>
        <v>3706.1749967999995</v>
      </c>
      <c r="I32" s="506">
        <f>(66.21+1.35+3.187)*12*2.34</f>
        <v>1986.5757599999995</v>
      </c>
      <c r="J32" s="506">
        <f>(66.21+1.35+3.187+0.449+14.82)*12*2.34*23.5%</f>
        <v>567.60238079999999</v>
      </c>
      <c r="K32" s="506">
        <f>(0.449+14.82+0.2+21.4967)*12*2.34</f>
        <v>1037.996856</v>
      </c>
      <c r="L32" s="506"/>
      <c r="M32" s="505">
        <f>'[2]GD THEO DINH MUC'!J30</f>
        <v>114</v>
      </c>
      <c r="N32" s="510">
        <v>0</v>
      </c>
      <c r="O32" s="504">
        <f t="shared" si="4"/>
        <v>114</v>
      </c>
      <c r="P32" s="504"/>
      <c r="Q32" s="505">
        <f>'[2]GD NGOAI DINH MUC'!AM28</f>
        <v>135.17143884000001</v>
      </c>
    </row>
    <row r="33" spans="1:17" x14ac:dyDescent="0.25">
      <c r="A33" s="500" t="s">
        <v>1435</v>
      </c>
      <c r="B33" s="381" t="s">
        <v>1436</v>
      </c>
      <c r="C33" s="501">
        <f t="shared" si="8"/>
        <v>36</v>
      </c>
      <c r="D33" s="502">
        <f>'[2]GD THEO DINH MUC'!Q31</f>
        <v>35</v>
      </c>
      <c r="E33" s="502">
        <f>'[2]GD THEO DINH MUC'!R31</f>
        <v>1</v>
      </c>
      <c r="F33" s="503">
        <f>'[2]GD THEO DINH MUC'!H31</f>
        <v>27</v>
      </c>
      <c r="G33" s="504">
        <f t="shared" si="9"/>
        <v>7887.7786891200003</v>
      </c>
      <c r="H33" s="505">
        <f t="shared" si="6"/>
        <v>7651.5590304000007</v>
      </c>
      <c r="I33" s="506">
        <f>(3.3+136.58+2.55)*12*2.34</f>
        <v>3999.4344000000006</v>
      </c>
      <c r="J33" s="506">
        <f>(3.3+136.58+2.55+0.792+29.386)*12*2.34*23.5%</f>
        <v>1139.0056704000001</v>
      </c>
      <c r="K33" s="506">
        <f>(0.792+29.386+0.3+48.059)*12*2.34</f>
        <v>2205.3189600000001</v>
      </c>
      <c r="L33" s="506"/>
      <c r="M33" s="505">
        <f>'[2]GD THEO DINH MUC'!J31</f>
        <v>307.79999999999995</v>
      </c>
      <c r="N33" s="510">
        <v>0</v>
      </c>
      <c r="O33" s="504">
        <f t="shared" si="4"/>
        <v>307.79999999999995</v>
      </c>
      <c r="P33" s="504"/>
      <c r="Q33" s="505">
        <f>'[2]GD NGOAI DINH MUC'!AM29</f>
        <v>236.21965872000001</v>
      </c>
    </row>
    <row r="34" spans="1:17" x14ac:dyDescent="0.25">
      <c r="A34" s="500" t="s">
        <v>1437</v>
      </c>
      <c r="B34" s="381" t="s">
        <v>1438</v>
      </c>
      <c r="C34" s="501">
        <f t="shared" si="8"/>
        <v>30</v>
      </c>
      <c r="D34" s="502">
        <f>'[2]GD THEO DINH MUC'!Q32</f>
        <v>29</v>
      </c>
      <c r="E34" s="502">
        <f>'[2]GD THEO DINH MUC'!R32</f>
        <v>1</v>
      </c>
      <c r="F34" s="503">
        <f>'[2]GD THEO DINH MUC'!H32</f>
        <v>18</v>
      </c>
      <c r="G34" s="504">
        <f t="shared" si="9"/>
        <v>7238.5702055999991</v>
      </c>
      <c r="H34" s="505">
        <f t="shared" si="6"/>
        <v>7047.3096899999991</v>
      </c>
      <c r="I34" s="506">
        <f>(1.475+125.55+2.1)*12*2.34</f>
        <v>3625.83</v>
      </c>
      <c r="J34" s="506">
        <f>(1.475+125.55+2.1+2.44+31.26)*12*2.34*23.5%</f>
        <v>1074.4496099999997</v>
      </c>
      <c r="K34" s="506">
        <f>(2.44+31.256+0.3+42.28)*12*2.34</f>
        <v>2141.8300799999997</v>
      </c>
      <c r="L34" s="506"/>
      <c r="M34" s="505">
        <f>'[2]GD THEO DINH MUC'!J32</f>
        <v>205.2</v>
      </c>
      <c r="N34" s="510">
        <v>0</v>
      </c>
      <c r="O34" s="504">
        <f t="shared" si="4"/>
        <v>205.2</v>
      </c>
      <c r="P34" s="504"/>
      <c r="Q34" s="505">
        <f>'[2]GD NGOAI DINH MUC'!AM30</f>
        <v>191.26051559999999</v>
      </c>
    </row>
    <row r="35" spans="1:17" x14ac:dyDescent="0.25">
      <c r="A35" s="500" t="s">
        <v>1439</v>
      </c>
      <c r="B35" s="381" t="s">
        <v>1440</v>
      </c>
      <c r="C35" s="501">
        <f t="shared" si="8"/>
        <v>25</v>
      </c>
      <c r="D35" s="502">
        <f>'[2]GD THEO DINH MUC'!Q33</f>
        <v>24</v>
      </c>
      <c r="E35" s="502">
        <f>'[2]GD THEO DINH MUC'!R33</f>
        <v>1</v>
      </c>
      <c r="F35" s="503">
        <f>'[2]GD THEO DINH MUC'!H33</f>
        <v>17</v>
      </c>
      <c r="G35" s="504">
        <f t="shared" si="9"/>
        <v>5345.4588306000005</v>
      </c>
      <c r="H35" s="505">
        <f t="shared" si="6"/>
        <v>5180.5298676000002</v>
      </c>
      <c r="I35" s="506">
        <f>(1.48+94.1+1.95)*12*2.34</f>
        <v>2738.6424000000002</v>
      </c>
      <c r="J35" s="506">
        <f>(1.48+94.1+1.95+0.65+19.897)*12*2.34*23.5%</f>
        <v>779.16650759999993</v>
      </c>
      <c r="K35" s="506">
        <f>(0.65+19.897+0.3+31.465)*12*2.34</f>
        <v>1468.9209599999997</v>
      </c>
      <c r="L35" s="506"/>
      <c r="M35" s="505">
        <f>'[2]GD THEO DINH MUC'!J33</f>
        <v>193.79999999999998</v>
      </c>
      <c r="N35" s="510">
        <v>0</v>
      </c>
      <c r="O35" s="504">
        <f t="shared" si="4"/>
        <v>193.79999999999998</v>
      </c>
      <c r="P35" s="504"/>
      <c r="Q35" s="505">
        <f>'[2]GD NGOAI DINH MUC'!AM31</f>
        <v>164.92896299999998</v>
      </c>
    </row>
    <row r="36" spans="1:17" x14ac:dyDescent="0.25">
      <c r="A36" s="500" t="s">
        <v>1441</v>
      </c>
      <c r="B36" s="381" t="s">
        <v>1442</v>
      </c>
      <c r="C36" s="501">
        <f t="shared" si="8"/>
        <v>30</v>
      </c>
      <c r="D36" s="502">
        <f>'[2]GD THEO DINH MUC'!Q34</f>
        <v>29</v>
      </c>
      <c r="E36" s="502">
        <f>'[2]GD THEO DINH MUC'!R34</f>
        <v>1</v>
      </c>
      <c r="F36" s="503">
        <f>'[2]GD THEO DINH MUC'!H34</f>
        <v>18</v>
      </c>
      <c r="G36" s="504">
        <f t="shared" si="9"/>
        <v>6754.8692147999991</v>
      </c>
      <c r="H36" s="505">
        <f t="shared" si="6"/>
        <v>6621.1889507999995</v>
      </c>
      <c r="I36" s="506">
        <f>(118.688+2.25+2.23)*12*2.34</f>
        <v>3458.55744</v>
      </c>
      <c r="J36" s="506">
        <f>(118.688+2.25+2.23+1.531+26.942)*12*2.34*23.5%</f>
        <v>1000.6486308</v>
      </c>
      <c r="K36" s="506">
        <f>(1.531+26.942+0.3+40.913)*12*2.34</f>
        <v>1956.7828799999997</v>
      </c>
      <c r="L36" s="506"/>
      <c r="M36" s="505">
        <f>'[2]GD THEO DINH MUC'!J34</f>
        <v>205.2</v>
      </c>
      <c r="N36" s="510">
        <v>0</v>
      </c>
      <c r="O36" s="504">
        <f t="shared" si="4"/>
        <v>205.2</v>
      </c>
      <c r="P36" s="504"/>
      <c r="Q36" s="505">
        <f>'[2]GD NGOAI DINH MUC'!AM32</f>
        <v>133.68026399999999</v>
      </c>
    </row>
    <row r="37" spans="1:17" x14ac:dyDescent="0.25">
      <c r="A37" s="500" t="s">
        <v>1443</v>
      </c>
      <c r="B37" s="381" t="s">
        <v>1444</v>
      </c>
      <c r="C37" s="501">
        <f t="shared" si="8"/>
        <v>19</v>
      </c>
      <c r="D37" s="502">
        <f>'[2]GD THEO DINH MUC'!Q35</f>
        <v>18</v>
      </c>
      <c r="E37" s="502">
        <f>'[2]GD THEO DINH MUC'!R35</f>
        <v>1</v>
      </c>
      <c r="F37" s="503">
        <f>'[2]GD THEO DINH MUC'!H35</f>
        <v>15</v>
      </c>
      <c r="G37" s="504">
        <f t="shared" si="9"/>
        <v>3988.141084679999</v>
      </c>
      <c r="H37" s="505">
        <f t="shared" si="6"/>
        <v>3857.6880647999992</v>
      </c>
      <c r="I37" s="506">
        <f>(69.139+1.55+1.475)*12*2.34</f>
        <v>2026.3651199999995</v>
      </c>
      <c r="J37" s="506">
        <f>(69.139+1.55+1.475+1.827+13.955)*12*2.34*23.5%</f>
        <v>580.33806479999976</v>
      </c>
      <c r="K37" s="506">
        <f>(1.827+13.955+0.2+22.479)*12*2.34</f>
        <v>1079.98488</v>
      </c>
      <c r="L37" s="506"/>
      <c r="M37" s="505">
        <f>'[2]GD THEO DINH MUC'!J35</f>
        <v>171</v>
      </c>
      <c r="N37" s="510">
        <v>0</v>
      </c>
      <c r="O37" s="504">
        <f t="shared" si="4"/>
        <v>171</v>
      </c>
      <c r="P37" s="504"/>
      <c r="Q37" s="505">
        <f>'[2]GD NGOAI DINH MUC'!AM33</f>
        <v>130.45301988</v>
      </c>
    </row>
    <row r="38" spans="1:17" x14ac:dyDescent="0.25">
      <c r="A38" s="500" t="s">
        <v>1445</v>
      </c>
      <c r="B38" s="381" t="s">
        <v>1446</v>
      </c>
      <c r="C38" s="501">
        <f t="shared" si="8"/>
        <v>20</v>
      </c>
      <c r="D38" s="502">
        <f>'[2]GD THEO DINH MUC'!Q36</f>
        <v>19</v>
      </c>
      <c r="E38" s="502">
        <f>'[2]GD THEO DINH MUC'!R36</f>
        <v>1</v>
      </c>
      <c r="F38" s="503">
        <f>'[2]GD THEO DINH MUC'!H36</f>
        <v>12</v>
      </c>
      <c r="G38" s="504">
        <f t="shared" si="9"/>
        <v>4258.5336624000001</v>
      </c>
      <c r="H38" s="505">
        <f t="shared" si="6"/>
        <v>4127.1266519999999</v>
      </c>
      <c r="I38" s="506">
        <f>(2.05+75.42+1.25)*12*2.34</f>
        <v>2210.4575999999997</v>
      </c>
      <c r="J38" s="506">
        <f>(2.05+75.42+1.25+0.45+15.62)*12*2.34*23.5%</f>
        <v>625.50025199999993</v>
      </c>
      <c r="K38" s="506">
        <f>(0.45+15.62+0.2+24.84)*12*2.34</f>
        <v>1154.3688</v>
      </c>
      <c r="L38" s="506"/>
      <c r="M38" s="505">
        <f>'[2]GD THEO DINH MUC'!J36</f>
        <v>136.79999999999998</v>
      </c>
      <c r="N38" s="510">
        <v>0</v>
      </c>
      <c r="O38" s="504">
        <f t="shared" si="4"/>
        <v>136.79999999999998</v>
      </c>
      <c r="P38" s="504"/>
      <c r="Q38" s="505">
        <f>'[2]GD NGOAI DINH MUC'!AM34</f>
        <v>131.40701040000002</v>
      </c>
    </row>
    <row r="39" spans="1:17" x14ac:dyDescent="0.25">
      <c r="A39" s="500" t="s">
        <v>1447</v>
      </c>
      <c r="B39" s="381" t="s">
        <v>1448</v>
      </c>
      <c r="C39" s="501">
        <f t="shared" si="8"/>
        <v>20</v>
      </c>
      <c r="D39" s="502">
        <f>'[2]GD THEO DINH MUC'!Q37</f>
        <v>20</v>
      </c>
      <c r="E39" s="502">
        <v>0</v>
      </c>
      <c r="F39" s="503">
        <f>'[2]GD THEO DINH MUC'!H37</f>
        <v>16</v>
      </c>
      <c r="G39" s="504">
        <f t="shared" si="9"/>
        <v>3981.7115925599996</v>
      </c>
      <c r="H39" s="505">
        <f t="shared" si="6"/>
        <v>3890.3010165599994</v>
      </c>
      <c r="I39" s="506">
        <f>(70.77+1.9)*12*2.34</f>
        <v>2040.5735999999997</v>
      </c>
      <c r="J39" s="506">
        <f>(70.77+1.9+1.0962+13.1)*12*2.34*23.5%</f>
        <v>573.21268055999997</v>
      </c>
      <c r="K39" s="506">
        <f>(1.0962+13.1+0.3+24.468)*12*2.34</f>
        <v>1094.1147359999998</v>
      </c>
      <c r="L39" s="506"/>
      <c r="M39" s="505">
        <f>'[2]GD THEO DINH MUC'!J37</f>
        <v>182.39999999999998</v>
      </c>
      <c r="N39" s="510">
        <v>0</v>
      </c>
      <c r="O39" s="504">
        <f t="shared" si="4"/>
        <v>182.39999999999998</v>
      </c>
      <c r="P39" s="504"/>
      <c r="Q39" s="505">
        <f>'[2]GD NGOAI DINH MUC'!AM35</f>
        <v>91.410576000000006</v>
      </c>
    </row>
    <row r="40" spans="1:17" x14ac:dyDescent="0.25">
      <c r="A40" s="500" t="s">
        <v>1449</v>
      </c>
      <c r="B40" s="381" t="s">
        <v>1450</v>
      </c>
      <c r="C40" s="501">
        <f t="shared" si="8"/>
        <v>19</v>
      </c>
      <c r="D40" s="502">
        <f>'[2]GD THEO DINH MUC'!Q38</f>
        <v>17</v>
      </c>
      <c r="E40" s="502">
        <f>'[2]GD THEO DINH MUC'!R38</f>
        <v>2</v>
      </c>
      <c r="F40" s="503">
        <f>'[2]GD THEO DINH MUC'!H38</f>
        <v>10</v>
      </c>
      <c r="G40" s="504">
        <f t="shared" si="9"/>
        <v>4069.8992912399999</v>
      </c>
      <c r="H40" s="505">
        <f t="shared" si="6"/>
        <v>3947.2342713600001</v>
      </c>
      <c r="I40" s="506">
        <f>(4.09+69.29+1.35)*12*2.34</f>
        <v>2098.4184</v>
      </c>
      <c r="J40" s="506">
        <f>(4.09+69.29+1.35+0.8672+14.59)*12*2.34*23.5%</f>
        <v>595.12729535999995</v>
      </c>
      <c r="K40" s="506">
        <f>(0.8672+14.59+0.1+25.03)*12*2.34</f>
        <v>1139.688576</v>
      </c>
      <c r="L40" s="506"/>
      <c r="M40" s="505">
        <f>'[2]GD THEO DINH MUC'!J38</f>
        <v>114</v>
      </c>
      <c r="N40" s="510">
        <v>0</v>
      </c>
      <c r="O40" s="504">
        <f t="shared" si="4"/>
        <v>114</v>
      </c>
      <c r="P40" s="504"/>
      <c r="Q40" s="505">
        <f>'[2]GD NGOAI DINH MUC'!AM36</f>
        <v>122.66501988000002</v>
      </c>
    </row>
    <row r="41" spans="1:17" x14ac:dyDescent="0.25">
      <c r="A41" s="500" t="s">
        <v>1451</v>
      </c>
      <c r="B41" s="381" t="s">
        <v>1452</v>
      </c>
      <c r="C41" s="501">
        <f t="shared" si="8"/>
        <v>30</v>
      </c>
      <c r="D41" s="502">
        <f>'[2]GD THEO DINH MUC'!Q39</f>
        <v>29</v>
      </c>
      <c r="E41" s="502">
        <f>'[2]GD THEO DINH MUC'!R39</f>
        <v>1</v>
      </c>
      <c r="F41" s="503">
        <f>'[2]GD THEO DINH MUC'!H39</f>
        <v>15</v>
      </c>
      <c r="G41" s="504">
        <f t="shared" si="9"/>
        <v>5907.7488837600004</v>
      </c>
      <c r="H41" s="505">
        <f t="shared" si="6"/>
        <v>5720.9811681600004</v>
      </c>
      <c r="I41" s="506">
        <f>(1.86+109.08+1.95)*12*2.34</f>
        <v>3169.9512</v>
      </c>
      <c r="J41" s="506">
        <f>(1.86+109.08+1.95+18.4832)*12*2.34*23.5%</f>
        <v>866.90547215999982</v>
      </c>
      <c r="K41" s="506">
        <f>(18.4832+0.2+35.203)*12*2.34</f>
        <v>1513.1244959999999</v>
      </c>
      <c r="L41" s="506"/>
      <c r="M41" s="505">
        <f>'[2]GD THEO DINH MUC'!J39</f>
        <v>171</v>
      </c>
      <c r="N41" s="510">
        <v>0</v>
      </c>
      <c r="O41" s="504">
        <f t="shared" si="4"/>
        <v>171</v>
      </c>
      <c r="P41" s="504"/>
      <c r="Q41" s="505">
        <f>'[2]GD NGOAI DINH MUC'!AM37</f>
        <v>186.7677156</v>
      </c>
    </row>
    <row r="42" spans="1:17" x14ac:dyDescent="0.25">
      <c r="A42" s="500" t="s">
        <v>1453</v>
      </c>
      <c r="B42" s="381" t="s">
        <v>1454</v>
      </c>
      <c r="C42" s="501">
        <f t="shared" si="8"/>
        <v>29</v>
      </c>
      <c r="D42" s="502">
        <f>'[2]GD THEO DINH MUC'!Q40</f>
        <v>28</v>
      </c>
      <c r="E42" s="502">
        <f>'[2]GD THEO DINH MUC'!R40</f>
        <v>1</v>
      </c>
      <c r="F42" s="503">
        <f>'[2]GD THEO DINH MUC'!H40</f>
        <v>15</v>
      </c>
      <c r="G42" s="504">
        <f t="shared" si="9"/>
        <v>5936.3889155999996</v>
      </c>
      <c r="H42" s="505">
        <f t="shared" si="6"/>
        <v>5765.5397195999994</v>
      </c>
      <c r="I42" s="506">
        <f>(3.12+107.24+1.75)*12*2.34</f>
        <v>3148.0487999999996</v>
      </c>
      <c r="J42" s="506">
        <f>(3.12+107.24+1.75+0.97+20.387)*12*2.34*23.5%</f>
        <v>880.72203959999979</v>
      </c>
      <c r="K42" s="506">
        <f>(0.964+20.387+0.2+34.21)*12*2.34</f>
        <v>1565.7688799999999</v>
      </c>
      <c r="L42" s="506"/>
      <c r="M42" s="505">
        <f>'[2]GD THEO DINH MUC'!J40</f>
        <v>171</v>
      </c>
      <c r="N42" s="510">
        <v>0</v>
      </c>
      <c r="O42" s="504">
        <f t="shared" si="4"/>
        <v>171</v>
      </c>
      <c r="P42" s="504"/>
      <c r="Q42" s="505">
        <f>'[2]GD NGOAI DINH MUC'!AM38</f>
        <v>170.84919599999998</v>
      </c>
    </row>
    <row r="43" spans="1:17" x14ac:dyDescent="0.25">
      <c r="A43" s="500" t="s">
        <v>1455</v>
      </c>
      <c r="B43" s="381" t="s">
        <v>1456</v>
      </c>
      <c r="C43" s="501">
        <f t="shared" si="8"/>
        <v>29</v>
      </c>
      <c r="D43" s="502">
        <f>'[2]GD THEO DINH MUC'!Q41</f>
        <v>28</v>
      </c>
      <c r="E43" s="502">
        <f>'[2]GD THEO DINH MUC'!R41</f>
        <v>1</v>
      </c>
      <c r="F43" s="503">
        <f>'[2]GD THEO DINH MUC'!H41</f>
        <v>16</v>
      </c>
      <c r="G43" s="504">
        <f t="shared" si="9"/>
        <v>5218.6254023999991</v>
      </c>
      <c r="H43" s="505">
        <f t="shared" si="6"/>
        <v>5035.5068773199991</v>
      </c>
      <c r="I43" s="506">
        <f>(95.72+1.75+2.95)*12*2.34</f>
        <v>2819.7936</v>
      </c>
      <c r="J43" s="506">
        <f>(95.72+1.75+2.95+0.7389+13.32)*12*2.34*23.5%</f>
        <v>755.42336532000002</v>
      </c>
      <c r="K43" s="506">
        <f>(0.7389+13.32+0.2+31.25)*12*2.34</f>
        <v>1277.8899119999999</v>
      </c>
      <c r="L43" s="506"/>
      <c r="M43" s="505">
        <f>'[2]GD THEO DINH MUC'!J41</f>
        <v>182.39999999999998</v>
      </c>
      <c r="N43" s="510">
        <v>0</v>
      </c>
      <c r="O43" s="504">
        <f t="shared" si="4"/>
        <v>182.39999999999998</v>
      </c>
      <c r="P43" s="504"/>
      <c r="Q43" s="505">
        <f>'[2]GD NGOAI DINH MUC'!AM39</f>
        <v>183.11852508000001</v>
      </c>
    </row>
    <row r="44" spans="1:17" x14ac:dyDescent="0.25">
      <c r="A44" s="500" t="s">
        <v>1457</v>
      </c>
      <c r="B44" s="381" t="s">
        <v>1458</v>
      </c>
      <c r="C44" s="501">
        <f t="shared" si="8"/>
        <v>24</v>
      </c>
      <c r="D44" s="502">
        <f>'[2]GD THEO DINH MUC'!Q42</f>
        <v>23</v>
      </c>
      <c r="E44" s="502">
        <f>'[2]GD THEO DINH MUC'!R42</f>
        <v>1</v>
      </c>
      <c r="F44" s="503">
        <f>'[2]GD THEO DINH MUC'!H42</f>
        <v>13</v>
      </c>
      <c r="G44" s="504">
        <f t="shared" si="9"/>
        <v>5239.0753144799992</v>
      </c>
      <c r="H44" s="505">
        <f t="shared" si="6"/>
        <v>5093.3835419999996</v>
      </c>
      <c r="I44" s="506">
        <f>(1.475+95.05+1.75)*12*2.34</f>
        <v>2759.5619999999999</v>
      </c>
      <c r="J44" s="506">
        <f>(1.475+95.05+1.75+18.94)*12*2.34*23.5%</f>
        <v>773.47834199999977</v>
      </c>
      <c r="K44" s="506">
        <f>(18.94+0.2+31.15)*12*2.34</f>
        <v>1412.1432</v>
      </c>
      <c r="L44" s="506"/>
      <c r="M44" s="505">
        <f>'[2]GD THEO DINH MUC'!J42</f>
        <v>148.19999999999999</v>
      </c>
      <c r="N44" s="510">
        <v>0</v>
      </c>
      <c r="O44" s="504">
        <f t="shared" si="4"/>
        <v>148.19999999999999</v>
      </c>
      <c r="P44" s="504"/>
      <c r="Q44" s="505">
        <f>'[2]GD NGOAI DINH MUC'!AM40</f>
        <v>145.69177248000003</v>
      </c>
    </row>
    <row r="45" spans="1:17" x14ac:dyDescent="0.25">
      <c r="A45" s="500" t="s">
        <v>1459</v>
      </c>
      <c r="B45" s="381" t="s">
        <v>1460</v>
      </c>
      <c r="C45" s="501">
        <f t="shared" si="8"/>
        <v>22</v>
      </c>
      <c r="D45" s="502">
        <f>'[2]GD THEO DINH MUC'!Q43</f>
        <v>21</v>
      </c>
      <c r="E45" s="502">
        <f>'[2]GD THEO DINH MUC'!R43</f>
        <v>1</v>
      </c>
      <c r="F45" s="503">
        <f>'[2]GD THEO DINH MUC'!H43</f>
        <v>10</v>
      </c>
      <c r="G45" s="504">
        <f t="shared" si="9"/>
        <v>5089.0416914400002</v>
      </c>
      <c r="H45" s="505">
        <f t="shared" si="6"/>
        <v>4951.2363000000005</v>
      </c>
      <c r="I45" s="506">
        <f>(2.94+89.34+1.55)*12*2.34</f>
        <v>2634.7464</v>
      </c>
      <c r="J45" s="506">
        <f>(2.94+89.34+1.55+21.72)*12*2.34*23.5%</f>
        <v>762.49133999999992</v>
      </c>
      <c r="K45" s="506">
        <f>(21.72+0.2+29.362)*12*2.34</f>
        <v>1439.99856</v>
      </c>
      <c r="L45" s="506"/>
      <c r="M45" s="505">
        <f>'[2]GD THEO DINH MUC'!J43</f>
        <v>114</v>
      </c>
      <c r="N45" s="510">
        <v>0</v>
      </c>
      <c r="O45" s="504">
        <f t="shared" si="4"/>
        <v>114</v>
      </c>
      <c r="P45" s="504"/>
      <c r="Q45" s="505">
        <f>'[2]GD NGOAI DINH MUC'!AM41</f>
        <v>137.80539143999999</v>
      </c>
    </row>
    <row r="46" spans="1:17" x14ac:dyDescent="0.25">
      <c r="A46" s="500" t="s">
        <v>1461</v>
      </c>
      <c r="B46" s="381" t="s">
        <v>1462</v>
      </c>
      <c r="C46" s="501">
        <f t="shared" si="8"/>
        <v>41</v>
      </c>
      <c r="D46" s="502">
        <f>'[2]GD THEO DINH MUC'!Q44</f>
        <v>39</v>
      </c>
      <c r="E46" s="502">
        <f>'[2]GD THEO DINH MUC'!R44</f>
        <v>2</v>
      </c>
      <c r="F46" s="503">
        <f>'[2]GD THEO DINH MUC'!H44</f>
        <v>25</v>
      </c>
      <c r="G46" s="504">
        <f t="shared" si="9"/>
        <v>7653.8930353199994</v>
      </c>
      <c r="H46" s="505">
        <f t="shared" si="6"/>
        <v>7394.9346239999995</v>
      </c>
      <c r="I46" s="506">
        <f>(4.78+137.88+2.3)*12*2.34</f>
        <v>4070.4767999999999</v>
      </c>
      <c r="J46" s="506">
        <f>(4.78+137.88+2.3+21.72)*12*2.34*23.5%</f>
        <v>1099.887984</v>
      </c>
      <c r="K46" s="506">
        <f>(21.72+0.6+46.753)*12*2.34</f>
        <v>1939.5698400000001</v>
      </c>
      <c r="L46" s="506"/>
      <c r="M46" s="505">
        <f>'[2]GD THEO DINH MUC'!J44</f>
        <v>285</v>
      </c>
      <c r="N46" s="510">
        <v>0</v>
      </c>
      <c r="O46" s="504">
        <f t="shared" si="4"/>
        <v>285</v>
      </c>
      <c r="P46" s="504"/>
      <c r="Q46" s="505">
        <f>'[2]GD NGOAI DINH MUC'!AM42</f>
        <v>258.95841132000004</v>
      </c>
    </row>
    <row r="47" spans="1:17" x14ac:dyDescent="0.25">
      <c r="A47" s="500" t="s">
        <v>1463</v>
      </c>
      <c r="B47" s="381" t="s">
        <v>1464</v>
      </c>
      <c r="C47" s="501">
        <f t="shared" si="8"/>
        <v>19</v>
      </c>
      <c r="D47" s="502">
        <f>'[2]GD THEO DINH MUC'!Q45</f>
        <v>18</v>
      </c>
      <c r="E47" s="502">
        <f>'[2]GD THEO DINH MUC'!R45</f>
        <v>1</v>
      </c>
      <c r="F47" s="503">
        <f>'[2]GD THEO DINH MUC'!H45</f>
        <v>10</v>
      </c>
      <c r="G47" s="504">
        <f t="shared" si="9"/>
        <v>4042.4299678799998</v>
      </c>
      <c r="H47" s="505">
        <f t="shared" si="6"/>
        <v>3926.9649479999998</v>
      </c>
      <c r="I47" s="506">
        <f>(3.86+71.38+1.55)*12*2.34</f>
        <v>2156.2631999999999</v>
      </c>
      <c r="J47" s="506">
        <f>(3.86+71.38+1.55+13.42)*12*2.34*23.5%</f>
        <v>595.27774799999997</v>
      </c>
      <c r="K47" s="506">
        <f>(13.42+0.2+24.18)*12*2.34</f>
        <v>1061.4239999999998</v>
      </c>
      <c r="L47" s="506"/>
      <c r="M47" s="505">
        <f>'[2]GD THEO DINH MUC'!J45</f>
        <v>114</v>
      </c>
      <c r="N47" s="510">
        <v>0</v>
      </c>
      <c r="O47" s="504">
        <f t="shared" si="4"/>
        <v>114</v>
      </c>
      <c r="P47" s="504"/>
      <c r="Q47" s="505">
        <f>'[2]GD NGOAI DINH MUC'!AM43</f>
        <v>115.46501988000001</v>
      </c>
    </row>
    <row r="48" spans="1:17" x14ac:dyDescent="0.25">
      <c r="A48" s="500" t="s">
        <v>1465</v>
      </c>
      <c r="B48" s="381" t="s">
        <v>1466</v>
      </c>
      <c r="C48" s="501">
        <f t="shared" si="8"/>
        <v>20</v>
      </c>
      <c r="D48" s="502">
        <f>'[2]GD THEO DINH MUC'!Q46</f>
        <v>19</v>
      </c>
      <c r="E48" s="502">
        <f>'[2]GD THEO DINH MUC'!R46</f>
        <v>1</v>
      </c>
      <c r="F48" s="503">
        <f>'[2]GD THEO DINH MUC'!H46</f>
        <v>10</v>
      </c>
      <c r="G48" s="504">
        <f t="shared" si="9"/>
        <v>4327.0111223999993</v>
      </c>
      <c r="H48" s="505">
        <f t="shared" si="6"/>
        <v>4206.6993119999997</v>
      </c>
      <c r="I48" s="506">
        <f>(3.66+77.14+1.55)*12*2.34</f>
        <v>2312.3879999999999</v>
      </c>
      <c r="J48" s="506">
        <f>(3.66+77.14+1.55+14.89)*12*2.34*23.5%</f>
        <v>641.66731199999992</v>
      </c>
      <c r="K48" s="506">
        <f>(14.89+0.4+25.26)*12*2.34</f>
        <v>1138.644</v>
      </c>
      <c r="L48" s="506"/>
      <c r="M48" s="505">
        <f>'[2]GD THEO DINH MUC'!J46</f>
        <v>114</v>
      </c>
      <c r="N48" s="510">
        <v>0</v>
      </c>
      <c r="O48" s="504">
        <f t="shared" si="4"/>
        <v>114</v>
      </c>
      <c r="P48" s="504"/>
      <c r="Q48" s="505">
        <f>'[2]GD NGOAI DINH MUC'!AM44</f>
        <v>120.31181040000001</v>
      </c>
    </row>
    <row r="49" spans="1:17" x14ac:dyDescent="0.25">
      <c r="A49" s="500" t="s">
        <v>1467</v>
      </c>
      <c r="B49" s="381" t="s">
        <v>1468</v>
      </c>
      <c r="C49" s="501">
        <f t="shared" si="8"/>
        <v>19</v>
      </c>
      <c r="D49" s="502">
        <f>'[2]GD THEO DINH MUC'!Q47</f>
        <v>18</v>
      </c>
      <c r="E49" s="502">
        <f>'[2]GD THEO DINH MUC'!R47</f>
        <v>1</v>
      </c>
      <c r="F49" s="503">
        <f>'[2]GD THEO DINH MUC'!H47</f>
        <v>10</v>
      </c>
      <c r="G49" s="504">
        <f t="shared" si="9"/>
        <v>4083.04768788</v>
      </c>
      <c r="H49" s="505">
        <f t="shared" si="6"/>
        <v>3967.582668</v>
      </c>
      <c r="I49" s="506">
        <f>(72.89+1.55+2.59)*12*2.34</f>
        <v>2163.0023999999999</v>
      </c>
      <c r="J49" s="506">
        <f>(72.89+1.55+2.59+0.65+14.43)*12*2.34*23.5%</f>
        <v>607.81546800000001</v>
      </c>
      <c r="K49" s="506">
        <f>(0.65+14.43+0.1+23.38)*12*2.34</f>
        <v>1082.7647999999999</v>
      </c>
      <c r="L49" s="506"/>
      <c r="M49" s="505">
        <f>'[2]GD THEO DINH MUC'!J47</f>
        <v>114</v>
      </c>
      <c r="N49" s="510">
        <v>0</v>
      </c>
      <c r="O49" s="504">
        <f t="shared" si="4"/>
        <v>114</v>
      </c>
      <c r="P49" s="504"/>
      <c r="Q49" s="505">
        <f>'[2]GD NGOAI DINH MUC'!AM45</f>
        <v>115.46501988000001</v>
      </c>
    </row>
    <row r="50" spans="1:17" x14ac:dyDescent="0.25">
      <c r="A50" s="500" t="s">
        <v>1469</v>
      </c>
      <c r="B50" s="381" t="s">
        <v>1470</v>
      </c>
      <c r="C50" s="501">
        <f t="shared" si="8"/>
        <v>38</v>
      </c>
      <c r="D50" s="502">
        <f>'[2]GD THEO DINH MUC'!Q48</f>
        <v>36</v>
      </c>
      <c r="E50" s="502">
        <f>'[2]GD THEO DINH MUC'!R48</f>
        <v>2</v>
      </c>
      <c r="F50" s="503">
        <f>'[2]GD THEO DINH MUC'!H48</f>
        <v>23</v>
      </c>
      <c r="G50" s="504">
        <f t="shared" si="9"/>
        <v>8622.4081905600015</v>
      </c>
      <c r="H50" s="505">
        <f t="shared" si="6"/>
        <v>8382.7853508000007</v>
      </c>
      <c r="I50" s="506">
        <f>(6.31+151.98+2.25)*12*2.34</f>
        <v>4507.9632000000001</v>
      </c>
      <c r="J50" s="506">
        <f>(6.31+151.98+2.25+31.901)*12*2.34*23.5%</f>
        <v>1269.8796707999998</v>
      </c>
      <c r="K50" s="506">
        <f>(31.901+0.3+51.23)*12*2.34</f>
        <v>2342.7424799999999</v>
      </c>
      <c r="L50" s="506"/>
      <c r="M50" s="505">
        <f>'[2]GD THEO DINH MUC'!J48</f>
        <v>262.2</v>
      </c>
      <c r="N50" s="510">
        <v>0</v>
      </c>
      <c r="O50" s="504">
        <f t="shared" si="4"/>
        <v>262.2</v>
      </c>
      <c r="P50" s="504"/>
      <c r="Q50" s="505">
        <f>'[2]GD NGOAI DINH MUC'!AM46</f>
        <v>239.62283976000003</v>
      </c>
    </row>
    <row r="51" spans="1:17" x14ac:dyDescent="0.25">
      <c r="A51" s="500" t="s">
        <v>1471</v>
      </c>
      <c r="B51" s="381" t="s">
        <v>1472</v>
      </c>
      <c r="C51" s="501">
        <f t="shared" si="8"/>
        <v>31</v>
      </c>
      <c r="D51" s="502">
        <f>'[2]GD THEO DINH MUC'!Q49</f>
        <v>30</v>
      </c>
      <c r="E51" s="502">
        <f>'[2]GD THEO DINH MUC'!R49</f>
        <v>1</v>
      </c>
      <c r="F51" s="503">
        <f>'[2]GD THEO DINH MUC'!H49</f>
        <v>18</v>
      </c>
      <c r="G51" s="504">
        <f t="shared" si="9"/>
        <v>6967.1116213199994</v>
      </c>
      <c r="H51" s="505">
        <f t="shared" si="6"/>
        <v>6771.0043151999989</v>
      </c>
      <c r="I51" s="506">
        <f>(3.48+0.174+123.089+2.1)*12*2.34</f>
        <v>3617.9114399999999</v>
      </c>
      <c r="J51" s="506">
        <f>(3.48+0.174+123.089+2.1+1.611+25.55)*12*2.34*23.5%</f>
        <v>1029.4391951999996</v>
      </c>
      <c r="K51" s="506">
        <f>(1.611+25.55+0.3+40.86)*12*2.34</f>
        <v>1918.4536799999998</v>
      </c>
      <c r="L51" s="506"/>
      <c r="M51" s="505">
        <f>'[2]GD THEO DINH MUC'!J49</f>
        <v>205.2</v>
      </c>
      <c r="N51" s="510">
        <v>0</v>
      </c>
      <c r="O51" s="504">
        <f t="shared" si="4"/>
        <v>205.2</v>
      </c>
      <c r="P51" s="504"/>
      <c r="Q51" s="505">
        <f>'[2]GD NGOAI DINH MUC'!AM47</f>
        <v>196.10730612</v>
      </c>
    </row>
    <row r="52" spans="1:17" x14ac:dyDescent="0.25">
      <c r="A52" s="500" t="s">
        <v>1473</v>
      </c>
      <c r="B52" s="381" t="s">
        <v>1474</v>
      </c>
      <c r="C52" s="501">
        <f t="shared" si="8"/>
        <v>23</v>
      </c>
      <c r="D52" s="502">
        <f>'[2]GD THEO DINH MUC'!Q50</f>
        <v>22</v>
      </c>
      <c r="E52" s="502">
        <f>'[2]GD THEO DINH MUC'!R50</f>
        <v>1</v>
      </c>
      <c r="F52" s="503">
        <f>'[2]GD THEO DINH MUC'!H50</f>
        <v>13</v>
      </c>
      <c r="G52" s="504">
        <f t="shared" si="9"/>
        <v>4516.600361159999</v>
      </c>
      <c r="H52" s="505">
        <f t="shared" si="6"/>
        <v>4368.8553791999993</v>
      </c>
      <c r="I52" s="506">
        <f>(2.19+81.64+1.1)*12*2.34</f>
        <v>2384.8343999999997</v>
      </c>
      <c r="J52" s="506">
        <f>(2.19+81.64+1.1+0.97+14.484)*12*2.34*23.5%</f>
        <v>662.41393919999973</v>
      </c>
      <c r="K52" s="506">
        <f>(0.97+14.484+0.2+26.134)*12*2.34</f>
        <v>1173.4070399999998</v>
      </c>
      <c r="L52" s="506"/>
      <c r="M52" s="505">
        <f>'[2]GD THEO DINH MUC'!J50</f>
        <v>148.19999999999999</v>
      </c>
      <c r="N52" s="510">
        <v>0</v>
      </c>
      <c r="O52" s="504">
        <f t="shared" si="4"/>
        <v>148.19999999999999</v>
      </c>
      <c r="P52" s="504"/>
      <c r="Q52" s="505">
        <f>'[2]GD NGOAI DINH MUC'!AM48</f>
        <v>147.74498195999999</v>
      </c>
    </row>
    <row r="53" spans="1:17" x14ac:dyDescent="0.25">
      <c r="A53" s="500" t="s">
        <v>1475</v>
      </c>
      <c r="B53" s="381" t="s">
        <v>1476</v>
      </c>
      <c r="C53" s="501">
        <f t="shared" si="8"/>
        <v>23</v>
      </c>
      <c r="D53" s="502">
        <f>'[2]GD THEO DINH MUC'!Q51</f>
        <v>22</v>
      </c>
      <c r="E53" s="502">
        <f>'[2]GD THEO DINH MUC'!R51</f>
        <v>1</v>
      </c>
      <c r="F53" s="503">
        <f>'[2]GD THEO DINH MUC'!H51</f>
        <v>15</v>
      </c>
      <c r="G53" s="504">
        <f t="shared" si="9"/>
        <v>5282.8023951600007</v>
      </c>
      <c r="H53" s="505">
        <f t="shared" si="6"/>
        <v>5139.2622132000006</v>
      </c>
      <c r="I53" s="506">
        <f>(91.8+1.75+4.299)*12*2.34</f>
        <v>2747.5999200000001</v>
      </c>
      <c r="J53" s="506">
        <f>(91.8+1.75+4.299+19.74)*12*2.34*23.5%</f>
        <v>775.9462931999999</v>
      </c>
      <c r="K53" s="506">
        <f>(19.74+0.1+31.61)*12*2.34</f>
        <v>1444.7160000000001</v>
      </c>
      <c r="L53" s="506"/>
      <c r="M53" s="505">
        <f>'[2]GD THEO DINH MUC'!J51</f>
        <v>171</v>
      </c>
      <c r="N53" s="510">
        <v>0</v>
      </c>
      <c r="O53" s="504">
        <f t="shared" si="4"/>
        <v>171</v>
      </c>
      <c r="P53" s="504"/>
      <c r="Q53" s="505">
        <f>'[2]GD NGOAI DINH MUC'!AM49</f>
        <v>143.54018196000001</v>
      </c>
    </row>
    <row r="54" spans="1:17" x14ac:dyDescent="0.25">
      <c r="A54" s="500" t="s">
        <v>1477</v>
      </c>
      <c r="B54" s="381" t="s">
        <v>1478</v>
      </c>
      <c r="C54" s="501">
        <f t="shared" si="8"/>
        <v>26</v>
      </c>
      <c r="D54" s="502">
        <f>'[2]GD THEO DINH MUC'!Q52</f>
        <v>25</v>
      </c>
      <c r="E54" s="502">
        <f>'[2]GD THEO DINH MUC'!R52</f>
        <v>1</v>
      </c>
      <c r="F54" s="503">
        <f>'[2]GD THEO DINH MUC'!H52</f>
        <v>15</v>
      </c>
      <c r="G54" s="504">
        <f t="shared" si="9"/>
        <v>4883.7719279999992</v>
      </c>
      <c r="H54" s="505">
        <f t="shared" si="6"/>
        <v>4726.409975999999</v>
      </c>
      <c r="I54" s="506">
        <f>(88.99+1.75+3.12)*12*2.34</f>
        <v>2635.5887999999995</v>
      </c>
      <c r="J54" s="506">
        <f>(88.99+1.75+3.12+13.16)*12*2.34*23.5%</f>
        <v>706.203576</v>
      </c>
      <c r="K54" s="506">
        <f>(13.16+0.2+29.86)*12*2.34</f>
        <v>1213.6175999999998</v>
      </c>
      <c r="L54" s="506"/>
      <c r="M54" s="505">
        <f>'[2]GD THEO DINH MUC'!J52</f>
        <v>171</v>
      </c>
      <c r="N54" s="510">
        <v>0</v>
      </c>
      <c r="O54" s="504">
        <f t="shared" si="4"/>
        <v>171</v>
      </c>
      <c r="P54" s="504"/>
      <c r="Q54" s="505">
        <f>'[2]GD NGOAI DINH MUC'!AM50</f>
        <v>157.361952</v>
      </c>
    </row>
    <row r="55" spans="1:17" x14ac:dyDescent="0.25">
      <c r="A55" s="500" t="s">
        <v>1479</v>
      </c>
      <c r="B55" s="381" t="s">
        <v>1480</v>
      </c>
      <c r="C55" s="501">
        <f t="shared" si="8"/>
        <v>35</v>
      </c>
      <c r="D55" s="502">
        <f>'[2]GD THEO DINH MUC'!Q53</f>
        <v>33</v>
      </c>
      <c r="E55" s="502">
        <f>'[2]GD THEO DINH MUC'!R53</f>
        <v>2</v>
      </c>
      <c r="F55" s="503">
        <f>'[2]GD THEO DINH MUC'!H53</f>
        <v>21</v>
      </c>
      <c r="G55" s="504">
        <f t="shared" si="9"/>
        <v>7882.8050477999986</v>
      </c>
      <c r="H55" s="505">
        <f t="shared" si="6"/>
        <v>7661.6177795999984</v>
      </c>
      <c r="I55" s="506">
        <f>(4.45+138.81+2.1)*12*2.34</f>
        <v>4081.708799999999</v>
      </c>
      <c r="J55" s="506">
        <f>(4.45+138.81+2.1+0.587+29.87)*12*2.34*23.5%</f>
        <v>1160.1812195999996</v>
      </c>
      <c r="K55" s="506">
        <f>(0.587+29.87+0.3+46.89)*12*2.34</f>
        <v>2180.3277600000001</v>
      </c>
      <c r="L55" s="506"/>
      <c r="M55" s="505">
        <f>'[2]GD THEO DINH MUC'!J53</f>
        <v>239.39999999999998</v>
      </c>
      <c r="N55" s="510">
        <v>0</v>
      </c>
      <c r="O55" s="504">
        <f t="shared" si="4"/>
        <v>239.39999999999998</v>
      </c>
      <c r="P55" s="504"/>
      <c r="Q55" s="505">
        <f>'[2]GD NGOAI DINH MUC'!AM51</f>
        <v>221.18726820000001</v>
      </c>
    </row>
    <row r="56" spans="1:17" x14ac:dyDescent="0.25">
      <c r="A56" s="500" t="s">
        <v>1481</v>
      </c>
      <c r="B56" s="381" t="s">
        <v>1482</v>
      </c>
      <c r="C56" s="501">
        <f t="shared" si="8"/>
        <v>23</v>
      </c>
      <c r="D56" s="502">
        <f>'[2]GD THEO DINH MUC'!Q54</f>
        <v>22</v>
      </c>
      <c r="E56" s="502">
        <f>'[2]GD THEO DINH MUC'!R54</f>
        <v>1</v>
      </c>
      <c r="F56" s="503">
        <f>'[2]GD THEO DINH MUC'!H54</f>
        <v>12</v>
      </c>
      <c r="G56" s="504">
        <f t="shared" si="9"/>
        <v>5118.1208615999994</v>
      </c>
      <c r="H56" s="505">
        <f t="shared" si="6"/>
        <v>4988.0389535999993</v>
      </c>
      <c r="I56" s="506">
        <f>(3.48+90.539+1.75)*12*2.34</f>
        <v>2689.1935199999998</v>
      </c>
      <c r="J56" s="506">
        <f>(3.48+90.539+1.75+0.249+18.854)*12*2.34*23.5%</f>
        <v>758.01735359999986</v>
      </c>
      <c r="K56" s="506">
        <f>(0.249+18.854+0.2+30.698)*12*2.34</f>
        <v>1404.0280799999998</v>
      </c>
      <c r="L56" s="506"/>
      <c r="M56" s="505">
        <f>'[2]GD THEO DINH MUC'!J54</f>
        <v>136.79999999999998</v>
      </c>
      <c r="N56" s="510">
        <v>0</v>
      </c>
      <c r="O56" s="504">
        <f t="shared" si="4"/>
        <v>136.79999999999998</v>
      </c>
      <c r="P56" s="504"/>
      <c r="Q56" s="505">
        <f>'[2]GD NGOAI DINH MUC'!AM52</f>
        <v>130.081908</v>
      </c>
    </row>
    <row r="57" spans="1:17" x14ac:dyDescent="0.25">
      <c r="A57" s="500" t="s">
        <v>1483</v>
      </c>
      <c r="B57" s="381" t="s">
        <v>1484</v>
      </c>
      <c r="C57" s="501">
        <f t="shared" si="8"/>
        <v>27</v>
      </c>
      <c r="D57" s="502">
        <f>'[2]GD THEO DINH MUC'!Q55</f>
        <v>26</v>
      </c>
      <c r="E57" s="502">
        <f>'[2]GD THEO DINH MUC'!R55</f>
        <v>1</v>
      </c>
      <c r="F57" s="503">
        <f>'[2]GD THEO DINH MUC'!H55</f>
        <v>17</v>
      </c>
      <c r="G57" s="504">
        <f t="shared" si="9"/>
        <v>6211.01736084</v>
      </c>
      <c r="H57" s="505">
        <f t="shared" si="6"/>
        <v>6043.8948167999997</v>
      </c>
      <c r="I57" s="506">
        <f>(2.94+107.75+2.1)*12*2.34</f>
        <v>3167.1432</v>
      </c>
      <c r="J57" s="506">
        <f>(2.94+107.75+2.1+25.396)*12*2.34*23.5%</f>
        <v>911.8617767999998</v>
      </c>
      <c r="K57" s="506">
        <f>(25.396+0.3+37.377)*12*2.34</f>
        <v>1771.0898400000001</v>
      </c>
      <c r="L57" s="506"/>
      <c r="M57" s="505">
        <f>'[2]GD THEO DINH MUC'!J55</f>
        <v>193.79999999999998</v>
      </c>
      <c r="N57" s="510">
        <v>0</v>
      </c>
      <c r="O57" s="504">
        <f t="shared" si="4"/>
        <v>193.79999999999998</v>
      </c>
      <c r="P57" s="504"/>
      <c r="Q57" s="505">
        <f>'[2]GD NGOAI DINH MUC'!AM53</f>
        <v>167.12254404000004</v>
      </c>
    </row>
    <row r="58" spans="1:17" x14ac:dyDescent="0.25">
      <c r="A58" s="500" t="s">
        <v>1485</v>
      </c>
      <c r="B58" s="381" t="s">
        <v>1486</v>
      </c>
      <c r="C58" s="501">
        <f t="shared" si="8"/>
        <v>20</v>
      </c>
      <c r="D58" s="502">
        <f>'[2]GD THEO DINH MUC'!Q56</f>
        <v>19</v>
      </c>
      <c r="E58" s="502">
        <f>'[2]GD THEO DINH MUC'!R56</f>
        <v>1</v>
      </c>
      <c r="F58" s="503">
        <f>'[2]GD THEO DINH MUC'!H56</f>
        <v>11</v>
      </c>
      <c r="G58" s="504">
        <f t="shared" si="9"/>
        <v>4457.8461311999999</v>
      </c>
      <c r="H58" s="505">
        <f t="shared" si="6"/>
        <v>4331.2367207999996</v>
      </c>
      <c r="I58" s="506">
        <f>(78.14+1.55+1.83)*12*2.34</f>
        <v>2289.0816</v>
      </c>
      <c r="J58" s="506">
        <f>(78.14+1.55+1.83+1.236+16.91)*12*2.34*23.5%</f>
        <v>657.67600079999988</v>
      </c>
      <c r="K58" s="506">
        <f>(1.236+16.91+0.2+26.493)*12*2.34</f>
        <v>1259.0791199999999</v>
      </c>
      <c r="L58" s="506"/>
      <c r="M58" s="505">
        <f>'[2]GD THEO DINH MUC'!J56</f>
        <v>125.39999999999999</v>
      </c>
      <c r="N58" s="510">
        <v>0</v>
      </c>
      <c r="O58" s="504">
        <f t="shared" si="4"/>
        <v>125.39999999999999</v>
      </c>
      <c r="P58" s="504"/>
      <c r="Q58" s="505">
        <f>'[2]GD NGOAI DINH MUC'!AM54</f>
        <v>126.60941040000002</v>
      </c>
    </row>
    <row r="59" spans="1:17" x14ac:dyDescent="0.25">
      <c r="A59" s="500" t="s">
        <v>1487</v>
      </c>
      <c r="B59" s="381" t="s">
        <v>1488</v>
      </c>
      <c r="C59" s="501">
        <f t="shared" si="8"/>
        <v>27</v>
      </c>
      <c r="D59" s="502">
        <f>'[2]GD THEO DINH MUC'!Q57</f>
        <v>27</v>
      </c>
      <c r="E59" s="502">
        <v>0</v>
      </c>
      <c r="F59" s="503">
        <f>'[2]GD THEO DINH MUC'!H57</f>
        <v>15</v>
      </c>
      <c r="G59" s="504">
        <f t="shared" si="9"/>
        <v>5738.46431364</v>
      </c>
      <c r="H59" s="505">
        <f t="shared" si="6"/>
        <v>5567.1369696000002</v>
      </c>
      <c r="I59" s="506">
        <f>(105.97+1.95)*12*2.34</f>
        <v>3030.3935999999999</v>
      </c>
      <c r="J59" s="506">
        <f>(105.97+1.95+0.489+19.783)*12*2.34*23.5%</f>
        <v>845.9133695999999</v>
      </c>
      <c r="K59" s="506">
        <f>(0.489+19.783+0.2+33.653)*12*2.34</f>
        <v>1519.83</v>
      </c>
      <c r="L59" s="506"/>
      <c r="M59" s="505">
        <f>'[2]GD THEO DINH MUC'!J57</f>
        <v>171</v>
      </c>
      <c r="N59" s="510">
        <v>0</v>
      </c>
      <c r="O59" s="504">
        <f t="shared" si="4"/>
        <v>171</v>
      </c>
      <c r="P59" s="504"/>
      <c r="Q59" s="505">
        <f>'[2]GD NGOAI DINH MUC'!AM55</f>
        <v>171.32734404000001</v>
      </c>
    </row>
    <row r="60" spans="1:17" x14ac:dyDescent="0.25">
      <c r="A60" s="500" t="s">
        <v>1489</v>
      </c>
      <c r="B60" s="381" t="s">
        <v>1490</v>
      </c>
      <c r="C60" s="501">
        <f t="shared" si="8"/>
        <v>20</v>
      </c>
      <c r="D60" s="502">
        <f>'[2]GD THEO DINH MUC'!Q58</f>
        <v>19</v>
      </c>
      <c r="E60" s="502">
        <f>'[2]GD THEO DINH MUC'!R58</f>
        <v>1</v>
      </c>
      <c r="F60" s="503">
        <f>'[2]GD THEO DINH MUC'!H58</f>
        <v>10</v>
      </c>
      <c r="G60" s="504">
        <f t="shared" si="9"/>
        <v>4632.3693012000003</v>
      </c>
      <c r="H60" s="505">
        <f t="shared" si="6"/>
        <v>4504.5574907999999</v>
      </c>
      <c r="I60" s="506">
        <f>(84.17+1.1+3.12)*12*2.34</f>
        <v>2481.9911999999999</v>
      </c>
      <c r="J60" s="506">
        <f>(84.17+1.1+3.12+0.962+17.439)*12*2.34*23.5%</f>
        <v>704.69245079999985</v>
      </c>
      <c r="K60" s="506">
        <f>(0.962+17.439+0.1+24.372)*12*2.34</f>
        <v>1203.8738400000002</v>
      </c>
      <c r="L60" s="506"/>
      <c r="M60" s="505">
        <f>'[2]GD THEO DINH MUC'!J58</f>
        <v>114</v>
      </c>
      <c r="N60" s="510">
        <v>0</v>
      </c>
      <c r="O60" s="504">
        <f t="shared" si="4"/>
        <v>114</v>
      </c>
      <c r="P60" s="504"/>
      <c r="Q60" s="505">
        <f>'[2]GD NGOAI DINH MUC'!AM56</f>
        <v>127.81181040000001</v>
      </c>
    </row>
    <row r="61" spans="1:17" x14ac:dyDescent="0.25">
      <c r="A61" s="500" t="s">
        <v>1491</v>
      </c>
      <c r="B61" s="381" t="s">
        <v>1492</v>
      </c>
      <c r="C61" s="501">
        <f t="shared" si="8"/>
        <v>31</v>
      </c>
      <c r="D61" s="502">
        <f>'[2]GD THEO DINH MUC'!Q59</f>
        <v>30</v>
      </c>
      <c r="E61" s="502">
        <f>'[2]GD THEO DINH MUC'!R59</f>
        <v>1</v>
      </c>
      <c r="F61" s="503">
        <f>'[2]GD THEO DINH MUC'!H59</f>
        <v>19</v>
      </c>
      <c r="G61" s="504">
        <f t="shared" si="9"/>
        <v>7024.7761801199995</v>
      </c>
      <c r="H61" s="505">
        <f t="shared" si="6"/>
        <v>6829.5712739999999</v>
      </c>
      <c r="I61" s="506">
        <f>(1.475+126.9+2.1)*12*2.34</f>
        <v>3663.7379999999994</v>
      </c>
      <c r="J61" s="506">
        <f>(1.475+126.9+2.1+0.45+25.38)*12*2.34*23.5%</f>
        <v>1031.425434</v>
      </c>
      <c r="K61" s="506">
        <f>(0.45+25.38+0.3+42.168)*12*2.34</f>
        <v>1917.8078399999999</v>
      </c>
      <c r="L61" s="506"/>
      <c r="M61" s="505">
        <f>'[2]GD THEO DINH MUC'!J59</f>
        <v>216.60000000000002</v>
      </c>
      <c r="N61" s="510">
        <v>0</v>
      </c>
      <c r="O61" s="504">
        <f t="shared" si="4"/>
        <v>216.60000000000002</v>
      </c>
      <c r="P61" s="504"/>
      <c r="Q61" s="505">
        <f>'[2]GD NGOAI DINH MUC'!AM57</f>
        <v>195.20490612000003</v>
      </c>
    </row>
    <row r="62" spans="1:17" x14ac:dyDescent="0.25">
      <c r="A62" s="500" t="s">
        <v>1493</v>
      </c>
      <c r="B62" s="381" t="s">
        <v>1494</v>
      </c>
      <c r="C62" s="501">
        <f t="shared" si="8"/>
        <v>32</v>
      </c>
      <c r="D62" s="502">
        <f>'[2]GD THEO DINH MUC'!Q60</f>
        <v>31</v>
      </c>
      <c r="E62" s="502">
        <f>'[2]GD THEO DINH MUC'!R60</f>
        <v>1</v>
      </c>
      <c r="F62" s="503">
        <f>'[2]GD THEO DINH MUC'!H60</f>
        <v>20</v>
      </c>
      <c r="G62" s="504">
        <f t="shared" si="9"/>
        <v>7650.2138162399997</v>
      </c>
      <c r="H62" s="505">
        <f t="shared" si="6"/>
        <v>7452.8645195999998</v>
      </c>
      <c r="I62" s="506">
        <f>(2.4+134.69+2.1)*12*2.34</f>
        <v>3908.4551999999999</v>
      </c>
      <c r="J62" s="506">
        <f>(2.4+134.69+2.1+1.99+30.687)*12*2.34*23.5%</f>
        <v>1134.1159596</v>
      </c>
      <c r="K62" s="506">
        <f>(1.99+30.687+0.2+44.84)*12*2.34</f>
        <v>2182.2933600000001</v>
      </c>
      <c r="L62" s="506"/>
      <c r="M62" s="505">
        <f>'[2]GD THEO DINH MUC'!J60</f>
        <v>228</v>
      </c>
      <c r="N62" s="510">
        <v>0</v>
      </c>
      <c r="O62" s="504">
        <f t="shared" si="4"/>
        <v>228</v>
      </c>
      <c r="P62" s="504"/>
      <c r="Q62" s="505">
        <f>'[2]GD NGOAI DINH MUC'!AM58</f>
        <v>197.34929664000003</v>
      </c>
    </row>
    <row r="63" spans="1:17" x14ac:dyDescent="0.25">
      <c r="A63" s="500" t="s">
        <v>1495</v>
      </c>
      <c r="B63" s="381" t="s">
        <v>1496</v>
      </c>
      <c r="C63" s="501">
        <f t="shared" si="8"/>
        <v>20</v>
      </c>
      <c r="D63" s="502">
        <f>'[2]GD THEO DINH MUC'!Q61</f>
        <v>19</v>
      </c>
      <c r="E63" s="502">
        <f>'[2]GD THEO DINH MUC'!R61</f>
        <v>1</v>
      </c>
      <c r="F63" s="503">
        <f>'[2]GD THEO DINH MUC'!H61</f>
        <v>14</v>
      </c>
      <c r="G63" s="504">
        <f t="shared" si="9"/>
        <v>4520.6545895999989</v>
      </c>
      <c r="H63" s="505">
        <f t="shared" si="6"/>
        <v>4396.7523791999993</v>
      </c>
      <c r="I63" s="506">
        <f>(79.69+1+2.05)*12*2.34</f>
        <v>2323.3391999999994</v>
      </c>
      <c r="J63" s="506">
        <f>(79.69+1+2.05+0.249+16.295)*12*2.34*23.5%</f>
        <v>655.15525919999993</v>
      </c>
      <c r="K63" s="506">
        <f>(16.295+0.2+28.329)*12*2.34</f>
        <v>1258.6579199999996</v>
      </c>
      <c r="L63" s="506"/>
      <c r="M63" s="505">
        <f>'[2]GD THEO DINH MUC'!J61</f>
        <v>159.6</v>
      </c>
      <c r="N63" s="510">
        <v>0</v>
      </c>
      <c r="O63" s="504">
        <f t="shared" si="4"/>
        <v>159.6</v>
      </c>
      <c r="P63" s="504"/>
      <c r="Q63" s="505">
        <f>'[2]GD NGOAI DINH MUC'!AM59</f>
        <v>123.9022104</v>
      </c>
    </row>
    <row r="64" spans="1:17" x14ac:dyDescent="0.25">
      <c r="A64" s="500" t="s">
        <v>1497</v>
      </c>
      <c r="B64" s="381" t="s">
        <v>1498</v>
      </c>
      <c r="C64" s="501">
        <f t="shared" si="8"/>
        <v>36</v>
      </c>
      <c r="D64" s="502">
        <f>'[2]GD THEO DINH MUC'!Q62</f>
        <v>35</v>
      </c>
      <c r="E64" s="502">
        <f>'[2]GD THEO DINH MUC'!R62</f>
        <v>1</v>
      </c>
      <c r="F64" s="503">
        <f>'[2]GD THEO DINH MUC'!H62</f>
        <v>21</v>
      </c>
      <c r="G64" s="504">
        <f t="shared" si="9"/>
        <v>8245.0859119199995</v>
      </c>
      <c r="H64" s="505">
        <f t="shared" si="6"/>
        <v>8021.1518532</v>
      </c>
      <c r="I64" s="506">
        <f>(147.86+2.25+2.94)*12*2.34</f>
        <v>4297.6440000000002</v>
      </c>
      <c r="J64" s="506">
        <f>(147.86+2.25+2.94+0.399+31.44)*12*2.34*23.5%</f>
        <v>1220.0455331999999</v>
      </c>
      <c r="K64" s="506">
        <f>(0.399+31.44+0.3+48.49)*12*2.34</f>
        <v>2264.06232</v>
      </c>
      <c r="L64" s="506"/>
      <c r="M64" s="505">
        <f>'[2]GD THEO DINH MUC'!J62</f>
        <v>239.39999999999998</v>
      </c>
      <c r="N64" s="510">
        <v>0</v>
      </c>
      <c r="O64" s="504">
        <f t="shared" si="4"/>
        <v>239.39999999999998</v>
      </c>
      <c r="P64" s="504"/>
      <c r="Q64" s="505">
        <f>'[2]GD NGOAI DINH MUC'!AM60</f>
        <v>223.93405872000005</v>
      </c>
    </row>
    <row r="65" spans="1:17" x14ac:dyDescent="0.25">
      <c r="A65" s="500" t="s">
        <v>1499</v>
      </c>
      <c r="B65" s="381" t="s">
        <v>1500</v>
      </c>
      <c r="C65" s="501">
        <f t="shared" si="8"/>
        <v>22</v>
      </c>
      <c r="D65" s="502">
        <f>'[2]GD THEO DINH MUC'!Q63</f>
        <v>20</v>
      </c>
      <c r="E65" s="502">
        <f>'[2]GD THEO DINH MUC'!R63</f>
        <v>2</v>
      </c>
      <c r="F65" s="503">
        <f>'[2]GD THEO DINH MUC'!H63</f>
        <v>10</v>
      </c>
      <c r="G65" s="504">
        <f t="shared" si="9"/>
        <v>4335.1415606399996</v>
      </c>
      <c r="H65" s="505">
        <f t="shared" si="6"/>
        <v>4204.5361691999997</v>
      </c>
      <c r="I65" s="506">
        <f>(6.45+0.2+77.408+1.35)*12*2.34</f>
        <v>2398.2566399999996</v>
      </c>
      <c r="J65" s="506">
        <f>(6.45+0.2+77.408+1.35+0.881+12.67)*12*2.34*23.5%</f>
        <v>653.01064919999999</v>
      </c>
      <c r="K65" s="506">
        <f>(0.881+12.67+0.2+23.26)*12*2.34</f>
        <v>1039.2688800000001</v>
      </c>
      <c r="L65" s="506"/>
      <c r="M65" s="505">
        <f>'[2]GD THEO DINH MUC'!J63</f>
        <v>114</v>
      </c>
      <c r="N65" s="510">
        <v>0</v>
      </c>
      <c r="O65" s="504">
        <f t="shared" si="4"/>
        <v>114</v>
      </c>
      <c r="P65" s="504"/>
      <c r="Q65" s="505">
        <f>'[2]GD NGOAI DINH MUC'!AM61</f>
        <v>130.60539144000001</v>
      </c>
    </row>
    <row r="66" spans="1:17" s="499" customFormat="1" x14ac:dyDescent="0.25">
      <c r="A66" s="508" t="s">
        <v>73</v>
      </c>
      <c r="B66" s="509" t="s">
        <v>1501</v>
      </c>
      <c r="C66" s="496">
        <f t="shared" ref="C66:Q66" si="10">SUM(C67:C79)</f>
        <v>450</v>
      </c>
      <c r="D66" s="496">
        <f t="shared" si="10"/>
        <v>437</v>
      </c>
      <c r="E66" s="496">
        <f t="shared" si="10"/>
        <v>13</v>
      </c>
      <c r="F66" s="496">
        <f>SUM(F67:F79)</f>
        <v>221</v>
      </c>
      <c r="G66" s="494">
        <f t="shared" si="10"/>
        <v>99100.392208559992</v>
      </c>
      <c r="H66" s="494">
        <f t="shared" si="10"/>
        <v>96406.969894559981</v>
      </c>
      <c r="I66" s="494">
        <f t="shared" si="10"/>
        <v>54854.89776</v>
      </c>
      <c r="J66" s="494">
        <f t="shared" si="10"/>
        <v>15286.128118559998</v>
      </c>
      <c r="K66" s="494">
        <f t="shared" si="10"/>
        <v>25352.876015999998</v>
      </c>
      <c r="L66" s="494">
        <f t="shared" si="10"/>
        <v>0</v>
      </c>
      <c r="M66" s="494">
        <f t="shared" si="10"/>
        <v>2519.3999999999996</v>
      </c>
      <c r="N66" s="494">
        <f t="shared" si="10"/>
        <v>1642.3559999999998</v>
      </c>
      <c r="O66" s="494">
        <f t="shared" si="10"/>
        <v>913.06799999999987</v>
      </c>
      <c r="P66" s="494">
        <f t="shared" si="10"/>
        <v>0</v>
      </c>
      <c r="Q66" s="494">
        <f t="shared" si="10"/>
        <v>2693.4223139999999</v>
      </c>
    </row>
    <row r="67" spans="1:17" x14ac:dyDescent="0.25">
      <c r="A67" s="500" t="s">
        <v>1502</v>
      </c>
      <c r="B67" s="381" t="s">
        <v>1496</v>
      </c>
      <c r="C67" s="501">
        <f t="shared" ref="C67:C79" si="11">SUM(D67:E67)</f>
        <v>19</v>
      </c>
      <c r="D67" s="502">
        <f>'[2]GD THEO DINH MUC'!Q65</f>
        <v>19</v>
      </c>
      <c r="E67" s="502">
        <v>0</v>
      </c>
      <c r="F67" s="503">
        <f>'[2]GD THEO DINH MUC'!H65</f>
        <v>7</v>
      </c>
      <c r="G67" s="504">
        <f t="shared" ref="G67:G79" si="12">H67+Q67</f>
        <v>3851.7531307199993</v>
      </c>
      <c r="H67" s="505">
        <f t="shared" si="6"/>
        <v>3739.1859272399993</v>
      </c>
      <c r="I67" s="506">
        <f>(75.81+1.6)*12*2.34</f>
        <v>2173.6727999999998</v>
      </c>
      <c r="J67" s="506">
        <f>(75.81+1.6+12.0873)*12*2.34*23.5%</f>
        <v>590.57478323999987</v>
      </c>
      <c r="K67" s="506">
        <f>(12.0873+0.1+21.162)*12*2.34</f>
        <v>936.44834399999991</v>
      </c>
      <c r="L67" s="506"/>
      <c r="M67" s="505">
        <f>'[2]GD THEO DINH MUC'!J65</f>
        <v>79.8</v>
      </c>
      <c r="N67" s="510">
        <f>'[2]GD THEO DINH MUC'!O65</f>
        <v>41.309999999999995</v>
      </c>
      <c r="O67" s="504">
        <f t="shared" si="4"/>
        <v>38.49</v>
      </c>
      <c r="P67" s="504"/>
      <c r="Q67" s="505">
        <f>'[2]GD NGOAI DINH MUC'!AM63</f>
        <v>112.56720348</v>
      </c>
    </row>
    <row r="68" spans="1:17" x14ac:dyDescent="0.25">
      <c r="A68" s="500" t="s">
        <v>1503</v>
      </c>
      <c r="B68" s="381" t="s">
        <v>1504</v>
      </c>
      <c r="C68" s="501">
        <f t="shared" si="11"/>
        <v>25</v>
      </c>
      <c r="D68" s="502">
        <f>'[2]GD THEO DINH MUC'!Q66</f>
        <v>24</v>
      </c>
      <c r="E68" s="502">
        <f>'[2]GD THEO DINH MUC'!R66</f>
        <v>1</v>
      </c>
      <c r="F68" s="503">
        <f>'[2]GD THEO DINH MUC'!H66</f>
        <v>10</v>
      </c>
      <c r="G68" s="504">
        <f t="shared" si="12"/>
        <v>5634.844388999999</v>
      </c>
      <c r="H68" s="505">
        <f t="shared" si="6"/>
        <v>5487.821015999999</v>
      </c>
      <c r="I68" s="506">
        <f>(107.85+1.6+1.68)*12*2.34</f>
        <v>3120.5303999999996</v>
      </c>
      <c r="J68" s="506">
        <f>(107.85+1.6+1.68+20.49)*12*2.34*23.5%</f>
        <v>868.53405599999996</v>
      </c>
      <c r="K68" s="506">
        <f>(20.89+0.2+30.492)*12*2.34</f>
        <v>1448.42256</v>
      </c>
      <c r="L68" s="506"/>
      <c r="M68" s="505">
        <f>'[2]GD THEO DINH MUC'!J66</f>
        <v>114</v>
      </c>
      <c r="N68" s="510">
        <f>'[2]GD THEO DINH MUC'!O66</f>
        <v>63.66599999999999</v>
      </c>
      <c r="O68" s="504">
        <f t="shared" si="4"/>
        <v>50.33400000000001</v>
      </c>
      <c r="P68" s="504"/>
      <c r="Q68" s="505">
        <f>'[2]GD NGOAI DINH MUC'!AM64</f>
        <v>147.02337300000002</v>
      </c>
    </row>
    <row r="69" spans="1:17" x14ac:dyDescent="0.25">
      <c r="A69" s="500" t="s">
        <v>1505</v>
      </c>
      <c r="B69" s="381" t="s">
        <v>1506</v>
      </c>
      <c r="C69" s="501">
        <f t="shared" si="11"/>
        <v>32</v>
      </c>
      <c r="D69" s="502">
        <f>'[2]GD THEO DINH MUC'!Q67</f>
        <v>31</v>
      </c>
      <c r="E69" s="502">
        <f>'[2]GD THEO DINH MUC'!R67</f>
        <v>1</v>
      </c>
      <c r="F69" s="503">
        <f>'[2]GD THEO DINH MUC'!H67</f>
        <v>17</v>
      </c>
      <c r="G69" s="504">
        <f t="shared" si="12"/>
        <v>7011.81754344</v>
      </c>
      <c r="H69" s="505">
        <f t="shared" si="6"/>
        <v>6816.6537060000001</v>
      </c>
      <c r="I69" s="506">
        <f>(134.91+1.9+3.632)*12*2.34</f>
        <v>3943.6113599999999</v>
      </c>
      <c r="J69" s="506">
        <f>(134.91+1.9+3.632+24.503)*12*2.34*23.5%</f>
        <v>1088.4390659999997</v>
      </c>
      <c r="K69" s="506">
        <f>(24.503+0.2+38.688)*12*2.34</f>
        <v>1780.01928</v>
      </c>
      <c r="L69" s="506"/>
      <c r="M69" s="505">
        <f>'[2]GD THEO DINH MUC'!J67</f>
        <v>193.79999999999998</v>
      </c>
      <c r="N69" s="510">
        <f>'[2]GD THEO DINH MUC'!O67</f>
        <v>189.21600000000001</v>
      </c>
      <c r="O69" s="504">
        <f t="shared" si="4"/>
        <v>4.5839999999999748</v>
      </c>
      <c r="P69" s="504"/>
      <c r="Q69" s="505">
        <f>'[2]GD NGOAI DINH MUC'!AM65</f>
        <v>195.16383744000001</v>
      </c>
    </row>
    <row r="70" spans="1:17" x14ac:dyDescent="0.25">
      <c r="A70" s="500" t="s">
        <v>1507</v>
      </c>
      <c r="B70" s="381" t="s">
        <v>1508</v>
      </c>
      <c r="C70" s="501">
        <f t="shared" si="11"/>
        <v>31</v>
      </c>
      <c r="D70" s="502">
        <f>'[2]GD THEO DINH MUC'!Q68</f>
        <v>30</v>
      </c>
      <c r="E70" s="502">
        <f>'[2]GD THEO DINH MUC'!R68</f>
        <v>1</v>
      </c>
      <c r="F70" s="503">
        <f>'[2]GD THEO DINH MUC'!H68</f>
        <v>14</v>
      </c>
      <c r="G70" s="504">
        <f t="shared" si="12"/>
        <v>5813.7721597199989</v>
      </c>
      <c r="H70" s="505">
        <f t="shared" si="6"/>
        <v>5628.3950171999986</v>
      </c>
      <c r="I70" s="506">
        <f>(2.58+115.988+1.7)*12*2.34</f>
        <v>3377.1254399999993</v>
      </c>
      <c r="J70" s="506">
        <f>(2.58+115.988+1.7+0.342+18.109)*12*2.34*23.5%</f>
        <v>915.37893719999977</v>
      </c>
      <c r="K70" s="506">
        <f>(0.342+10.109+0.2+34.407)*12*2.34</f>
        <v>1265.2286399999998</v>
      </c>
      <c r="L70" s="506"/>
      <c r="M70" s="505">
        <f>'[2]GD THEO DINH MUC'!J68</f>
        <v>159.6</v>
      </c>
      <c r="N70" s="510">
        <f>'[2]GD THEO DINH MUC'!O68</f>
        <v>88.937999999999988</v>
      </c>
      <c r="O70" s="504">
        <f t="shared" si="4"/>
        <v>70.662000000000006</v>
      </c>
      <c r="P70" s="504"/>
      <c r="Q70" s="505">
        <f>'[2]GD NGOAI DINH MUC'!AM66</f>
        <v>185.37714252000001</v>
      </c>
    </row>
    <row r="71" spans="1:17" x14ac:dyDescent="0.25">
      <c r="A71" s="500" t="s">
        <v>1509</v>
      </c>
      <c r="B71" s="381" t="s">
        <v>1071</v>
      </c>
      <c r="C71" s="501">
        <f t="shared" si="11"/>
        <v>45</v>
      </c>
      <c r="D71" s="502">
        <f>'[2]GD THEO DINH MUC'!Q69</f>
        <v>44</v>
      </c>
      <c r="E71" s="502">
        <f>'[2]GD THEO DINH MUC'!R69</f>
        <v>1</v>
      </c>
      <c r="F71" s="503">
        <f>'[2]GD THEO DINH MUC'!H69</f>
        <v>20</v>
      </c>
      <c r="G71" s="504">
        <f t="shared" si="12"/>
        <v>10083.94748916</v>
      </c>
      <c r="H71" s="505">
        <f t="shared" si="6"/>
        <v>9821.7702177600004</v>
      </c>
      <c r="I71" s="506">
        <f>(1.68+192.86+2.4)*12*2.34</f>
        <v>5530.0752000000002</v>
      </c>
      <c r="J71" s="506">
        <f>(1.68+192.86+2.4+0.392+37.6332)*12*2.34*23.5%</f>
        <v>1550.4883617599999</v>
      </c>
      <c r="K71" s="506">
        <f>(0.392+37.6332+0.2+55.863)*12*2.34</f>
        <v>2641.9966559999998</v>
      </c>
      <c r="L71" s="506"/>
      <c r="M71" s="505">
        <f>'[2]GD THEO DINH MUC'!J69</f>
        <v>228</v>
      </c>
      <c r="N71" s="510">
        <f>'[2]GD THEO DINH MUC'!O69</f>
        <v>128.78999999999996</v>
      </c>
      <c r="O71" s="504">
        <f t="shared" si="4"/>
        <v>99.210000000000036</v>
      </c>
      <c r="P71" s="504"/>
      <c r="Q71" s="505">
        <f>'[2]GD NGOAI DINH MUC'!AM67</f>
        <v>262.17727140000005</v>
      </c>
    </row>
    <row r="72" spans="1:17" x14ac:dyDescent="0.25">
      <c r="A72" s="500" t="s">
        <v>1510</v>
      </c>
      <c r="B72" s="381" t="s">
        <v>1511</v>
      </c>
      <c r="C72" s="501">
        <f t="shared" si="11"/>
        <v>31</v>
      </c>
      <c r="D72" s="502">
        <f>'[2]GD THEO DINH MUC'!Q70</f>
        <v>30</v>
      </c>
      <c r="E72" s="502">
        <f>'[2]GD THEO DINH MUC'!R70</f>
        <v>1</v>
      </c>
      <c r="F72" s="503">
        <f>'[2]GD THEO DINH MUC'!H70</f>
        <v>16</v>
      </c>
      <c r="G72" s="504">
        <f t="shared" si="12"/>
        <v>6557.4726391200002</v>
      </c>
      <c r="H72" s="505">
        <f t="shared" si="6"/>
        <v>6368.5002966000002</v>
      </c>
      <c r="I72" s="506">
        <f>(1.83+126.32+1.75)*12*2.34</f>
        <v>3647.5920000000001</v>
      </c>
      <c r="J72" s="506">
        <f>(1.83+126.32+1.75+22.2695)*12*2.34*23.5%</f>
        <v>1004.1360966</v>
      </c>
      <c r="K72" s="506">
        <f>(22.2695+0.2+34.983)*12*2.34</f>
        <v>1613.2662</v>
      </c>
      <c r="L72" s="506"/>
      <c r="M72" s="505">
        <f>'[2]GD THEO DINH MUC'!J70</f>
        <v>182.39999999999998</v>
      </c>
      <c r="N72" s="510">
        <f>'[2]GD THEO DINH MUC'!O70</f>
        <v>78.894000000000005</v>
      </c>
      <c r="O72" s="504">
        <f t="shared" si="4"/>
        <v>103.50599999999997</v>
      </c>
      <c r="P72" s="504"/>
      <c r="Q72" s="505">
        <f>'[2]GD NGOAI DINH MUC'!AM68</f>
        <v>188.97234252000001</v>
      </c>
    </row>
    <row r="73" spans="1:17" x14ac:dyDescent="0.25">
      <c r="A73" s="500" t="s">
        <v>1512</v>
      </c>
      <c r="B73" s="381" t="s">
        <v>1513</v>
      </c>
      <c r="C73" s="501">
        <f t="shared" si="11"/>
        <v>50</v>
      </c>
      <c r="D73" s="502">
        <f>'[2]GD THEO DINH MUC'!Q71</f>
        <v>49</v>
      </c>
      <c r="E73" s="502">
        <f>'[2]GD THEO DINH MUC'!R71</f>
        <v>1</v>
      </c>
      <c r="F73" s="503">
        <f>'[2]GD THEO DINH MUC'!H71</f>
        <v>26</v>
      </c>
      <c r="G73" s="504">
        <f t="shared" si="12"/>
        <v>11213.035541999998</v>
      </c>
      <c r="H73" s="505">
        <f t="shared" si="6"/>
        <v>10914.203195999999</v>
      </c>
      <c r="I73" s="506">
        <f>(215.54+2.5+2.4)*12*2.34</f>
        <v>6189.9551999999994</v>
      </c>
      <c r="J73" s="506">
        <f>(215.54+2.5+2.4+43.23)*12*2.34*23.5%</f>
        <v>1739.9055959999998</v>
      </c>
      <c r="K73" s="506">
        <f>(43.23+0.5+62.55)*12*2.34</f>
        <v>2984.3424</v>
      </c>
      <c r="L73" s="506"/>
      <c r="M73" s="505">
        <f>'[2]GD THEO DINH MUC'!J71</f>
        <v>296.39999999999998</v>
      </c>
      <c r="N73" s="510">
        <f>'[2]GD THEO DINH MUC'!O71</f>
        <v>332.42399999999998</v>
      </c>
      <c r="O73" s="504"/>
      <c r="P73" s="504"/>
      <c r="Q73" s="505">
        <f>'[2]GD NGOAI DINH MUC'!AM69</f>
        <v>298.83234599999997</v>
      </c>
    </row>
    <row r="74" spans="1:17" x14ac:dyDescent="0.25">
      <c r="A74" s="500" t="s">
        <v>1514</v>
      </c>
      <c r="B74" s="381" t="s">
        <v>1515</v>
      </c>
      <c r="C74" s="501">
        <f t="shared" si="11"/>
        <v>41</v>
      </c>
      <c r="D74" s="502">
        <f>'[2]GD THEO DINH MUC'!Q72</f>
        <v>40</v>
      </c>
      <c r="E74" s="502">
        <f>'[2]GD THEO DINH MUC'!R72</f>
        <v>1</v>
      </c>
      <c r="F74" s="503">
        <f>'[2]GD THEO DINH MUC'!H72</f>
        <v>21</v>
      </c>
      <c r="G74" s="504">
        <f t="shared" si="12"/>
        <v>9566.402265839999</v>
      </c>
      <c r="H74" s="505">
        <f t="shared" si="6"/>
        <v>9319.7029741199985</v>
      </c>
      <c r="I74" s="506">
        <f>(2.94+179.55+2.35)*12*2.34</f>
        <v>5190.3071999999993</v>
      </c>
      <c r="J74" s="506">
        <f>(2.94+179.55+2.35+0.5379+37.287)*12*2.34*23.5%</f>
        <v>1469.3211421199999</v>
      </c>
      <c r="K74" s="506">
        <f>(0.5379+37.287+0.3+53.043)*12*2.34</f>
        <v>2559.9946319999995</v>
      </c>
      <c r="L74" s="506"/>
      <c r="M74" s="505">
        <f>'[2]GD THEO DINH MUC'!J72</f>
        <v>239.39999999999998</v>
      </c>
      <c r="N74" s="510">
        <f>'[2]GD THEO DINH MUC'!O72</f>
        <v>139.32</v>
      </c>
      <c r="O74" s="504">
        <f t="shared" si="4"/>
        <v>100.07999999999998</v>
      </c>
      <c r="P74" s="504"/>
      <c r="Q74" s="505">
        <f>'[2]GD NGOAI DINH MUC'!AM70</f>
        <v>246.69929171999999</v>
      </c>
    </row>
    <row r="75" spans="1:17" x14ac:dyDescent="0.25">
      <c r="A75" s="500" t="s">
        <v>1516</v>
      </c>
      <c r="B75" s="381" t="s">
        <v>1517</v>
      </c>
      <c r="C75" s="501">
        <f t="shared" si="11"/>
        <v>32</v>
      </c>
      <c r="D75" s="502">
        <f>'[2]GD THEO DINH MUC'!Q73</f>
        <v>31</v>
      </c>
      <c r="E75" s="502">
        <f>'[2]GD THEO DINH MUC'!R73</f>
        <v>1</v>
      </c>
      <c r="F75" s="503">
        <f>'[2]GD THEO DINH MUC'!H73</f>
        <v>18</v>
      </c>
      <c r="G75" s="504">
        <f t="shared" si="12"/>
        <v>7043.0065214400001</v>
      </c>
      <c r="H75" s="505">
        <f t="shared" si="6"/>
        <v>6847.8450840000005</v>
      </c>
      <c r="I75" s="506">
        <f>(131.37+2.15+4.08)*12*2.34</f>
        <v>3863.8080000000004</v>
      </c>
      <c r="J75" s="506">
        <f>(131.37+2.15+4.08+25.03)*12*2.34*23.5%</f>
        <v>1073.162844</v>
      </c>
      <c r="K75" s="506">
        <f>(25.03+0.3+39.273)*12*2.34</f>
        <v>1814.0522400000002</v>
      </c>
      <c r="L75" s="506"/>
      <c r="M75" s="505">
        <f>'[2]GD THEO DINH MUC'!J73</f>
        <v>205.2</v>
      </c>
      <c r="N75" s="510">
        <f>'[2]GD THEO DINH MUC'!O73</f>
        <v>108.378</v>
      </c>
      <c r="O75" s="504">
        <f t="shared" si="4"/>
        <v>96.821999999999989</v>
      </c>
      <c r="P75" s="504"/>
      <c r="Q75" s="505">
        <f>'[2]GD NGOAI DINH MUC'!AM71</f>
        <v>195.16143744000001</v>
      </c>
    </row>
    <row r="76" spans="1:17" x14ac:dyDescent="0.25">
      <c r="A76" s="500" t="s">
        <v>1518</v>
      </c>
      <c r="B76" s="381" t="s">
        <v>1519</v>
      </c>
      <c r="C76" s="501">
        <f t="shared" si="11"/>
        <v>33</v>
      </c>
      <c r="D76" s="502">
        <f>'[2]GD THEO DINH MUC'!Q74</f>
        <v>32</v>
      </c>
      <c r="E76" s="502">
        <f>'[2]GD THEO DINH MUC'!R74</f>
        <v>1</v>
      </c>
      <c r="F76" s="503">
        <f>'[2]GD THEO DINH MUC'!H74</f>
        <v>16</v>
      </c>
      <c r="G76" s="504">
        <f t="shared" si="12"/>
        <v>7162.0941468000001</v>
      </c>
      <c r="H76" s="505">
        <f t="shared" si="6"/>
        <v>6965.5340144399997</v>
      </c>
      <c r="I76" s="506">
        <f>(2.06+137.74+1.6)*12*2.34</f>
        <v>3970.5120000000002</v>
      </c>
      <c r="J76" s="506">
        <f>(2.06+137.74+1.6+24.4913)*12*2.34*23.5%</f>
        <v>1094.68351044</v>
      </c>
      <c r="K76" s="506">
        <f>(24.4913+0.3+40.335)*12*2.34</f>
        <v>1828.7465039999997</v>
      </c>
      <c r="L76" s="506"/>
      <c r="M76" s="505">
        <f>'[2]GD THEO DINH MUC'!J74</f>
        <v>182.39999999999998</v>
      </c>
      <c r="N76" s="510">
        <f>'[2]GD THEO DINH MUC'!O74</f>
        <v>110.80800000000001</v>
      </c>
      <c r="O76" s="504">
        <f t="shared" si="4"/>
        <v>71.59199999999997</v>
      </c>
      <c r="P76" s="504"/>
      <c r="Q76" s="505">
        <f>'[2]GD NGOAI DINH MUC'!AM72</f>
        <v>196.56013236000001</v>
      </c>
    </row>
    <row r="77" spans="1:17" x14ac:dyDescent="0.25">
      <c r="A77" s="500" t="s">
        <v>1520</v>
      </c>
      <c r="B77" s="381" t="s">
        <v>1521</v>
      </c>
      <c r="C77" s="501">
        <f t="shared" si="11"/>
        <v>51</v>
      </c>
      <c r="D77" s="502">
        <f>'[2]GD THEO DINH MUC'!Q75</f>
        <v>49</v>
      </c>
      <c r="E77" s="502">
        <f>'[2]GD THEO DINH MUC'!R75</f>
        <v>2</v>
      </c>
      <c r="F77" s="503">
        <f>'[2]GD THEO DINH MUC'!H75</f>
        <v>29</v>
      </c>
      <c r="G77" s="504">
        <f t="shared" si="12"/>
        <v>11295.684488519999</v>
      </c>
      <c r="H77" s="505">
        <f t="shared" si="6"/>
        <v>10987.9654476</v>
      </c>
      <c r="I77" s="506">
        <f>(4.753+215.319+2.85)*12*2.34</f>
        <v>6259.6497599999993</v>
      </c>
      <c r="J77" s="506">
        <f>(4.753+215.319+2.85+1.23+40.475)*12*2.34*23.5%</f>
        <v>1746.2206475999999</v>
      </c>
      <c r="K77" s="506">
        <f>(1.223+40.475+0.4+59.69)*12*2.34</f>
        <v>2858.2070399999998</v>
      </c>
      <c r="L77" s="506"/>
      <c r="M77" s="505">
        <f>'[2]GD THEO DINH MUC'!J75</f>
        <v>330.59999999999997</v>
      </c>
      <c r="N77" s="510">
        <f>'[2]GD THEO DINH MUC'!O75</f>
        <v>206.71199999999999</v>
      </c>
      <c r="O77" s="504">
        <f t="shared" si="4"/>
        <v>123.88799999999998</v>
      </c>
      <c r="P77" s="504"/>
      <c r="Q77" s="505">
        <f>'[2]GD NGOAI DINH MUC'!AM73</f>
        <v>307.71904092</v>
      </c>
    </row>
    <row r="78" spans="1:17" x14ac:dyDescent="0.25">
      <c r="A78" s="500" t="s">
        <v>1522</v>
      </c>
      <c r="B78" s="381" t="s">
        <v>1523</v>
      </c>
      <c r="C78" s="501">
        <f t="shared" si="11"/>
        <v>29</v>
      </c>
      <c r="D78" s="502">
        <f>'[2]GD THEO DINH MUC'!Q76</f>
        <v>28</v>
      </c>
      <c r="E78" s="502">
        <f>'[2]GD THEO DINH MUC'!R76</f>
        <v>1</v>
      </c>
      <c r="F78" s="503">
        <f>'[2]GD THEO DINH MUC'!H76</f>
        <v>13</v>
      </c>
      <c r="G78" s="504">
        <f>H78+Q78</f>
        <v>6791.4815194799994</v>
      </c>
      <c r="H78" s="505">
        <f t="shared" si="6"/>
        <v>6617.5897667999998</v>
      </c>
      <c r="I78" s="506">
        <f>(2.76+127.91+1.6)*12*2.34</f>
        <v>3714.1415999999995</v>
      </c>
      <c r="J78" s="506">
        <f>(2.76+127.91+1.6+26.491)*12*2.34*23.5%</f>
        <v>1047.6320867999996</v>
      </c>
      <c r="K78" s="506">
        <f>(26.491+0.1+37.36)*12*2.34</f>
        <v>1795.7440799999999</v>
      </c>
      <c r="L78" s="506"/>
      <c r="M78" s="505">
        <f>'[2]GD THEO DINH MUC'!J76</f>
        <v>148.19999999999999</v>
      </c>
      <c r="N78" s="510">
        <f>'[2]GD THEO DINH MUC'!O76</f>
        <v>88.127999999999986</v>
      </c>
      <c r="O78" s="504">
        <f t="shared" si="4"/>
        <v>60.072000000000003</v>
      </c>
      <c r="P78" s="504"/>
      <c r="Q78" s="505">
        <f>'[2]GD NGOAI DINH MUC'!AM74</f>
        <v>173.89175268</v>
      </c>
    </row>
    <row r="79" spans="1:17" x14ac:dyDescent="0.25">
      <c r="A79" s="500" t="s">
        <v>1524</v>
      </c>
      <c r="B79" s="381" t="s">
        <v>1525</v>
      </c>
      <c r="C79" s="501">
        <f t="shared" si="11"/>
        <v>31</v>
      </c>
      <c r="D79" s="502">
        <f>'[2]GD THEO DINH MUC'!Q77</f>
        <v>30</v>
      </c>
      <c r="E79" s="502">
        <f>'[2]GD THEO DINH MUC'!R77</f>
        <v>1</v>
      </c>
      <c r="F79" s="503">
        <f>'[2]GD THEO DINH MUC'!H77</f>
        <v>14</v>
      </c>
      <c r="G79" s="504">
        <f t="shared" si="12"/>
        <v>7075.08037332</v>
      </c>
      <c r="H79" s="505">
        <f t="shared" si="6"/>
        <v>6891.8032308000002</v>
      </c>
      <c r="I79" s="506">
        <f>(132.79+2.05+3.12)*12*2.34</f>
        <v>3873.9167999999995</v>
      </c>
      <c r="J79" s="506">
        <f>(132.79+2.05+3.12+1.283+27.098)*12*2.34*23.5%</f>
        <v>1097.6509907999998</v>
      </c>
      <c r="K79" s="506">
        <f>(1.283+27.098+0.2+36.462)*12*2.34</f>
        <v>1826.4074400000002</v>
      </c>
      <c r="L79" s="506"/>
      <c r="M79" s="505">
        <f>'[2]GD THEO DINH MUC'!J77</f>
        <v>159.6</v>
      </c>
      <c r="N79" s="510">
        <f>'[2]GD THEO DINH MUC'!O77</f>
        <v>65.771999999999991</v>
      </c>
      <c r="O79" s="504">
        <f>M79-N79</f>
        <v>93.828000000000003</v>
      </c>
      <c r="P79" s="504"/>
      <c r="Q79" s="505">
        <f>'[2]GD NGOAI DINH MUC'!AM75</f>
        <v>183.27714252000001</v>
      </c>
    </row>
    <row r="80" spans="1:17" s="488" customFormat="1" x14ac:dyDescent="0.25">
      <c r="A80" s="511" t="s">
        <v>16</v>
      </c>
      <c r="B80" s="512" t="s">
        <v>1551</v>
      </c>
      <c r="C80" s="496"/>
      <c r="D80" s="513"/>
      <c r="E80" s="513"/>
      <c r="F80" s="514"/>
      <c r="G80" s="494">
        <f>H80</f>
        <v>4528</v>
      </c>
      <c r="H80" s="505">
        <f>SUM(I80:O80)+P80</f>
        <v>4528</v>
      </c>
      <c r="I80" s="494"/>
      <c r="J80" s="497"/>
      <c r="K80" s="497"/>
      <c r="L80" s="497"/>
      <c r="M80" s="497"/>
      <c r="N80" s="515"/>
      <c r="O80" s="494"/>
      <c r="P80" s="494">
        <v>4528</v>
      </c>
      <c r="Q80" s="497">
        <v>0</v>
      </c>
    </row>
    <row r="81" spans="1:17" s="488" customFormat="1" x14ac:dyDescent="0.25">
      <c r="A81" s="511" t="s">
        <v>79</v>
      </c>
      <c r="B81" s="512" t="s">
        <v>1548</v>
      </c>
      <c r="C81" s="496"/>
      <c r="D81" s="513"/>
      <c r="E81" s="513"/>
      <c r="F81" s="514"/>
      <c r="G81" s="494">
        <f>SUM(G82:G88)</f>
        <v>17399</v>
      </c>
      <c r="H81" s="505">
        <f t="shared" ref="H81:H88" si="13">SUM(I81:O81)+P81</f>
        <v>0</v>
      </c>
      <c r="I81" s="494"/>
      <c r="J81" s="497"/>
      <c r="K81" s="497"/>
      <c r="L81" s="497"/>
      <c r="M81" s="497"/>
      <c r="N81" s="515"/>
      <c r="O81" s="494"/>
      <c r="P81" s="494"/>
      <c r="Q81" s="494">
        <f>SUM(Q82:Q88)</f>
        <v>17399</v>
      </c>
    </row>
    <row r="82" spans="1:17" x14ac:dyDescent="0.25">
      <c r="A82" s="500">
        <v>1</v>
      </c>
      <c r="B82" s="381" t="s">
        <v>1546</v>
      </c>
      <c r="C82" s="501"/>
      <c r="D82" s="502"/>
      <c r="E82" s="502"/>
      <c r="F82" s="503"/>
      <c r="G82" s="504">
        <f t="shared" ref="G82:G96" si="14">H82+Q82</f>
        <v>5959</v>
      </c>
      <c r="H82" s="505">
        <f t="shared" si="13"/>
        <v>0</v>
      </c>
      <c r="I82" s="504"/>
      <c r="J82" s="505"/>
      <c r="K82" s="505"/>
      <c r="L82" s="505"/>
      <c r="M82" s="505"/>
      <c r="N82" s="510"/>
      <c r="O82" s="504"/>
      <c r="P82" s="504"/>
      <c r="Q82" s="505">
        <f>5000+959</f>
        <v>5959</v>
      </c>
    </row>
    <row r="83" spans="1:17" x14ac:dyDescent="0.25">
      <c r="A83" s="500">
        <v>2</v>
      </c>
      <c r="B83" s="381" t="s">
        <v>1547</v>
      </c>
      <c r="C83" s="501"/>
      <c r="D83" s="502"/>
      <c r="E83" s="502"/>
      <c r="F83" s="503"/>
      <c r="G83" s="504">
        <f t="shared" si="14"/>
        <v>3000</v>
      </c>
      <c r="H83" s="505">
        <f t="shared" si="13"/>
        <v>0</v>
      </c>
      <c r="I83" s="504"/>
      <c r="J83" s="505"/>
      <c r="K83" s="505"/>
      <c r="L83" s="505"/>
      <c r="M83" s="505"/>
      <c r="N83" s="510"/>
      <c r="O83" s="504"/>
      <c r="P83" s="504"/>
      <c r="Q83" s="505">
        <v>3000</v>
      </c>
    </row>
    <row r="84" spans="1:17" x14ac:dyDescent="0.25">
      <c r="A84" s="500">
        <v>3</v>
      </c>
      <c r="B84" s="381" t="s">
        <v>1542</v>
      </c>
      <c r="C84" s="501"/>
      <c r="D84" s="502"/>
      <c r="E84" s="502"/>
      <c r="F84" s="503"/>
      <c r="G84" s="504">
        <f t="shared" si="14"/>
        <v>3600</v>
      </c>
      <c r="H84" s="505">
        <f t="shared" si="13"/>
        <v>0</v>
      </c>
      <c r="I84" s="504"/>
      <c r="J84" s="505"/>
      <c r="K84" s="505"/>
      <c r="L84" s="505"/>
      <c r="M84" s="505"/>
      <c r="N84" s="510"/>
      <c r="O84" s="504"/>
      <c r="P84" s="504"/>
      <c r="Q84" s="505">
        <v>3600</v>
      </c>
    </row>
    <row r="85" spans="1:17" x14ac:dyDescent="0.25">
      <c r="A85" s="500">
        <v>4</v>
      </c>
      <c r="B85" s="381" t="s">
        <v>1559</v>
      </c>
      <c r="C85" s="501"/>
      <c r="D85" s="502"/>
      <c r="E85" s="502"/>
      <c r="F85" s="503"/>
      <c r="G85" s="504">
        <f t="shared" si="14"/>
        <v>1300</v>
      </c>
      <c r="H85" s="505">
        <f t="shared" si="13"/>
        <v>0</v>
      </c>
      <c r="I85" s="504"/>
      <c r="J85" s="505"/>
      <c r="K85" s="505"/>
      <c r="L85" s="505"/>
      <c r="M85" s="505"/>
      <c r="N85" s="510"/>
      <c r="O85" s="504"/>
      <c r="P85" s="504"/>
      <c r="Q85" s="505">
        <v>1300</v>
      </c>
    </row>
    <row r="86" spans="1:17" x14ac:dyDescent="0.25">
      <c r="A86" s="500">
        <v>5</v>
      </c>
      <c r="B86" s="516" t="s">
        <v>1543</v>
      </c>
      <c r="C86" s="501"/>
      <c r="D86" s="502"/>
      <c r="E86" s="502"/>
      <c r="F86" s="503"/>
      <c r="G86" s="504">
        <f t="shared" si="14"/>
        <v>3000</v>
      </c>
      <c r="H86" s="505">
        <f t="shared" si="13"/>
        <v>0</v>
      </c>
      <c r="I86" s="504"/>
      <c r="J86" s="505"/>
      <c r="K86" s="505"/>
      <c r="L86" s="505"/>
      <c r="M86" s="505"/>
      <c r="N86" s="510"/>
      <c r="O86" s="504"/>
      <c r="P86" s="504"/>
      <c r="Q86" s="505">
        <v>3000</v>
      </c>
    </row>
    <row r="87" spans="1:17" x14ac:dyDescent="0.25">
      <c r="A87" s="500">
        <v>6</v>
      </c>
      <c r="B87" s="381" t="s">
        <v>1544</v>
      </c>
      <c r="C87" s="501"/>
      <c r="D87" s="502"/>
      <c r="E87" s="502"/>
      <c r="F87" s="503"/>
      <c r="G87" s="504">
        <f t="shared" si="14"/>
        <v>340</v>
      </c>
      <c r="H87" s="505">
        <f t="shared" si="13"/>
        <v>0</v>
      </c>
      <c r="I87" s="504"/>
      <c r="J87" s="505"/>
      <c r="K87" s="505"/>
      <c r="L87" s="505"/>
      <c r="M87" s="505"/>
      <c r="N87" s="510"/>
      <c r="O87" s="504"/>
      <c r="P87" s="504"/>
      <c r="Q87" s="505">
        <v>340</v>
      </c>
    </row>
    <row r="88" spans="1:17" x14ac:dyDescent="0.25">
      <c r="A88" s="500">
        <v>7</v>
      </c>
      <c r="B88" s="381" t="s">
        <v>1545</v>
      </c>
      <c r="C88" s="501"/>
      <c r="D88" s="502"/>
      <c r="E88" s="502"/>
      <c r="F88" s="503"/>
      <c r="G88" s="504">
        <f t="shared" si="14"/>
        <v>200</v>
      </c>
      <c r="H88" s="505">
        <f t="shared" si="13"/>
        <v>0</v>
      </c>
      <c r="I88" s="504"/>
      <c r="J88" s="505"/>
      <c r="K88" s="505"/>
      <c r="L88" s="505"/>
      <c r="M88" s="505"/>
      <c r="N88" s="510"/>
      <c r="O88" s="504"/>
      <c r="P88" s="504"/>
      <c r="Q88" s="505">
        <v>200</v>
      </c>
    </row>
    <row r="89" spans="1:17" s="488" customFormat="1" x14ac:dyDescent="0.25">
      <c r="A89" s="511" t="s">
        <v>89</v>
      </c>
      <c r="B89" s="512" t="s">
        <v>1552</v>
      </c>
      <c r="C89" s="496"/>
      <c r="D89" s="513"/>
      <c r="E89" s="513"/>
      <c r="F89" s="514"/>
      <c r="G89" s="494">
        <f>SUM(G90:G95)</f>
        <v>34477</v>
      </c>
      <c r="H89" s="497"/>
      <c r="I89" s="494"/>
      <c r="J89" s="497"/>
      <c r="K89" s="497"/>
      <c r="L89" s="497"/>
      <c r="M89" s="497"/>
      <c r="N89" s="515"/>
      <c r="O89" s="494"/>
      <c r="P89" s="494"/>
      <c r="Q89" s="494">
        <f>SUM(Q90:Q95)</f>
        <v>34477</v>
      </c>
    </row>
    <row r="90" spans="1:17" x14ac:dyDescent="0.25">
      <c r="A90" s="500">
        <v>1</v>
      </c>
      <c r="B90" s="381" t="s">
        <v>1767</v>
      </c>
      <c r="C90" s="501"/>
      <c r="D90" s="502"/>
      <c r="E90" s="502"/>
      <c r="F90" s="503"/>
      <c r="G90" s="504">
        <f t="shared" si="14"/>
        <v>5340</v>
      </c>
      <c r="H90" s="505"/>
      <c r="I90" s="504"/>
      <c r="J90" s="505"/>
      <c r="K90" s="505"/>
      <c r="L90" s="505"/>
      <c r="M90" s="505"/>
      <c r="N90" s="510"/>
      <c r="O90" s="504"/>
      <c r="P90" s="504"/>
      <c r="Q90" s="505">
        <v>5340</v>
      </c>
    </row>
    <row r="91" spans="1:17" ht="47.25" x14ac:dyDescent="0.25">
      <c r="A91" s="500">
        <v>2</v>
      </c>
      <c r="B91" s="113" t="s">
        <v>1768</v>
      </c>
      <c r="C91" s="501"/>
      <c r="D91" s="502"/>
      <c r="E91" s="502"/>
      <c r="F91" s="503"/>
      <c r="G91" s="504">
        <f t="shared" si="14"/>
        <v>5300</v>
      </c>
      <c r="H91" s="505"/>
      <c r="I91" s="504"/>
      <c r="J91" s="505"/>
      <c r="K91" s="505"/>
      <c r="L91" s="505"/>
      <c r="M91" s="505"/>
      <c r="N91" s="510"/>
      <c r="O91" s="504"/>
      <c r="P91" s="504"/>
      <c r="Q91" s="505">
        <v>5300</v>
      </c>
    </row>
    <row r="92" spans="1:17" x14ac:dyDescent="0.25">
      <c r="A92" s="500"/>
      <c r="B92" s="391" t="s">
        <v>1774</v>
      </c>
      <c r="C92" s="501"/>
      <c r="D92" s="502"/>
      <c r="E92" s="502"/>
      <c r="F92" s="503"/>
      <c r="G92" s="504">
        <f t="shared" si="14"/>
        <v>6637</v>
      </c>
      <c r="H92" s="505"/>
      <c r="I92" s="504"/>
      <c r="J92" s="505"/>
      <c r="K92" s="505"/>
      <c r="L92" s="505"/>
      <c r="M92" s="505"/>
      <c r="N92" s="510"/>
      <c r="O92" s="504"/>
      <c r="P92" s="504"/>
      <c r="Q92" s="505">
        <v>6637</v>
      </c>
    </row>
    <row r="93" spans="1:17" ht="49.5" x14ac:dyDescent="0.25">
      <c r="A93" s="500">
        <v>3</v>
      </c>
      <c r="B93" s="531" t="s">
        <v>1769</v>
      </c>
      <c r="C93" s="501"/>
      <c r="D93" s="502"/>
      <c r="E93" s="502"/>
      <c r="F93" s="503"/>
      <c r="G93" s="504">
        <f t="shared" si="14"/>
        <v>16700</v>
      </c>
      <c r="H93" s="505"/>
      <c r="I93" s="504"/>
      <c r="J93" s="505"/>
      <c r="K93" s="505"/>
      <c r="L93" s="505"/>
      <c r="M93" s="505"/>
      <c r="N93" s="510"/>
      <c r="O93" s="504"/>
      <c r="P93" s="504"/>
      <c r="Q93" s="505">
        <v>16700</v>
      </c>
    </row>
    <row r="94" spans="1:17" x14ac:dyDescent="0.25">
      <c r="A94" s="500">
        <v>4</v>
      </c>
      <c r="B94" s="454" t="s">
        <v>1549</v>
      </c>
      <c r="C94" s="501"/>
      <c r="D94" s="502"/>
      <c r="E94" s="502"/>
      <c r="F94" s="503"/>
      <c r="G94" s="504">
        <f t="shared" si="14"/>
        <v>330</v>
      </c>
      <c r="H94" s="505"/>
      <c r="I94" s="504"/>
      <c r="J94" s="505"/>
      <c r="K94" s="505"/>
      <c r="L94" s="505"/>
      <c r="M94" s="505"/>
      <c r="N94" s="510"/>
      <c r="O94" s="504"/>
      <c r="P94" s="504"/>
      <c r="Q94" s="505">
        <v>330</v>
      </c>
    </row>
    <row r="95" spans="1:17" x14ac:dyDescent="0.25">
      <c r="A95" s="500">
        <v>5</v>
      </c>
      <c r="B95" s="454" t="s">
        <v>1550</v>
      </c>
      <c r="C95" s="501"/>
      <c r="D95" s="502"/>
      <c r="E95" s="502"/>
      <c r="F95" s="503"/>
      <c r="G95" s="504">
        <f t="shared" si="14"/>
        <v>170</v>
      </c>
      <c r="H95" s="505"/>
      <c r="I95" s="504"/>
      <c r="J95" s="505"/>
      <c r="K95" s="505"/>
      <c r="L95" s="505"/>
      <c r="M95" s="505"/>
      <c r="N95" s="510"/>
      <c r="O95" s="504"/>
      <c r="P95" s="504"/>
      <c r="Q95" s="505">
        <v>170</v>
      </c>
    </row>
    <row r="96" spans="1:17" s="488" customFormat="1" x14ac:dyDescent="0.25">
      <c r="A96" s="511" t="s">
        <v>99</v>
      </c>
      <c r="B96" s="512" t="s">
        <v>1740</v>
      </c>
      <c r="C96" s="496"/>
      <c r="D96" s="513"/>
      <c r="E96" s="513"/>
      <c r="F96" s="514"/>
      <c r="G96" s="517">
        <f t="shared" si="14"/>
        <v>3804</v>
      </c>
      <c r="H96" s="518"/>
      <c r="I96" s="517"/>
      <c r="J96" s="518"/>
      <c r="K96" s="518"/>
      <c r="L96" s="518"/>
      <c r="M96" s="518"/>
      <c r="N96" s="519"/>
      <c r="O96" s="517"/>
      <c r="P96" s="517"/>
      <c r="Q96" s="518">
        <v>3804</v>
      </c>
    </row>
    <row r="97" spans="1:17" ht="6" customHeight="1" x14ac:dyDescent="0.25">
      <c r="A97" s="520"/>
      <c r="B97" s="521"/>
      <c r="C97" s="522"/>
      <c r="D97" s="523"/>
      <c r="E97" s="523"/>
      <c r="F97" s="524"/>
      <c r="G97" s="525"/>
      <c r="H97" s="526"/>
      <c r="I97" s="525"/>
      <c r="J97" s="526"/>
      <c r="K97" s="526"/>
      <c r="L97" s="526"/>
      <c r="M97" s="526"/>
      <c r="N97" s="527"/>
      <c r="O97" s="525"/>
      <c r="P97" s="525"/>
      <c r="Q97" s="526"/>
    </row>
    <row r="98" spans="1:17" ht="17.100000000000001" customHeight="1" x14ac:dyDescent="0.25">
      <c r="A98" s="487" t="s">
        <v>1782</v>
      </c>
    </row>
    <row r="99" spans="1:17" x14ac:dyDescent="0.25">
      <c r="B99" s="528" t="s">
        <v>1529</v>
      </c>
    </row>
    <row r="100" spans="1:17" x14ac:dyDescent="0.25">
      <c r="A100" s="529"/>
      <c r="B100" s="528" t="s">
        <v>1526</v>
      </c>
    </row>
    <row r="101" spans="1:17" ht="12.75" customHeight="1" x14ac:dyDescent="0.25">
      <c r="B101" s="528" t="s">
        <v>1527</v>
      </c>
    </row>
    <row r="102" spans="1:17" ht="12.75" customHeight="1" x14ac:dyDescent="0.25">
      <c r="B102" s="528" t="s">
        <v>1528</v>
      </c>
    </row>
    <row r="103" spans="1:17" x14ac:dyDescent="0.25">
      <c r="B103" s="528" t="s">
        <v>1741</v>
      </c>
    </row>
    <row r="104" spans="1:17" x14ac:dyDescent="0.25">
      <c r="B104" s="528" t="s">
        <v>1742</v>
      </c>
    </row>
  </sheetData>
  <mergeCells count="24">
    <mergeCell ref="M8:O8"/>
    <mergeCell ref="P8:P9"/>
    <mergeCell ref="H6:P6"/>
    <mergeCell ref="I7:P7"/>
    <mergeCell ref="L8:L9"/>
    <mergeCell ref="P4:Q4"/>
    <mergeCell ref="A1:B1"/>
    <mergeCell ref="O1:Q1"/>
    <mergeCell ref="A2:Q2"/>
    <mergeCell ref="A3:Q3"/>
    <mergeCell ref="C5:E5"/>
    <mergeCell ref="A5:A9"/>
    <mergeCell ref="B5:B9"/>
    <mergeCell ref="H5:Q5"/>
    <mergeCell ref="Q6:Q9"/>
    <mergeCell ref="H7:H9"/>
    <mergeCell ref="I8:I9"/>
    <mergeCell ref="J8:J9"/>
    <mergeCell ref="K8:K9"/>
    <mergeCell ref="F5:F9"/>
    <mergeCell ref="G5:G9"/>
    <mergeCell ref="C6:C9"/>
    <mergeCell ref="D6:D9"/>
    <mergeCell ref="E6:E9"/>
  </mergeCells>
  <printOptions horizontalCentered="1"/>
  <pageMargins left="0" right="0" top="0" bottom="0.37" header="0.2" footer="0.2"/>
  <pageSetup paperSize="9" scale="75" orientation="landscape" verticalDpi="0" r:id="rId1"/>
  <headerFooter>
    <oddFooter>&amp;F&amp;RPage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sheetPr>
  <dimension ref="A1:S35"/>
  <sheetViews>
    <sheetView zoomScale="120" zoomScaleNormal="120" workbookViewId="0"/>
  </sheetViews>
  <sheetFormatPr defaultColWidth="9.28515625" defaultRowHeight="15.75" x14ac:dyDescent="0.25"/>
  <cols>
    <col min="1" max="1" width="5.7109375" style="537" customWidth="1"/>
    <col min="2" max="2" width="27.28515625" style="537" customWidth="1"/>
    <col min="3" max="3" width="11.7109375" style="537" customWidth="1"/>
    <col min="4" max="4" width="11.28515625" style="537" customWidth="1"/>
    <col min="5" max="5" width="11.42578125" style="537" customWidth="1"/>
    <col min="6" max="6" width="10.28515625" style="537" customWidth="1"/>
    <col min="7" max="7" width="9.42578125" style="537" bestFit="1" customWidth="1"/>
    <col min="8" max="8" width="13.7109375" style="537" bestFit="1" customWidth="1"/>
    <col min="9" max="9" width="9.7109375" style="537" customWidth="1"/>
    <col min="10" max="10" width="8.5703125" style="537" customWidth="1"/>
    <col min="11" max="11" width="9.42578125" style="537" bestFit="1" customWidth="1"/>
    <col min="12" max="12" width="9.140625" style="537" customWidth="1"/>
    <col min="13" max="13" width="11.5703125" style="537" customWidth="1"/>
    <col min="14" max="14" width="10.42578125" style="537" customWidth="1"/>
    <col min="15" max="15" width="11.7109375" style="537" customWidth="1"/>
    <col min="16" max="16" width="10" style="537" customWidth="1"/>
    <col min="17" max="17" width="11.85546875" style="537" bestFit="1" customWidth="1"/>
    <col min="18" max="18" width="15.28515625" style="537" customWidth="1"/>
    <col min="19" max="16384" width="9.28515625" style="537"/>
  </cols>
  <sheetData>
    <row r="1" spans="1:19" x14ac:dyDescent="0.25">
      <c r="O1" s="635" t="s">
        <v>1309</v>
      </c>
      <c r="P1" s="635"/>
      <c r="Q1" s="635"/>
    </row>
    <row r="2" spans="1:19" ht="15.75" customHeight="1" x14ac:dyDescent="0.25">
      <c r="A2" s="583" t="s">
        <v>1726</v>
      </c>
      <c r="B2" s="583"/>
      <c r="C2" s="583"/>
      <c r="D2" s="583"/>
      <c r="E2" s="583"/>
      <c r="F2" s="583"/>
      <c r="G2" s="583"/>
      <c r="H2" s="583"/>
      <c r="I2" s="583"/>
      <c r="J2" s="583"/>
      <c r="K2" s="583"/>
      <c r="L2" s="583"/>
      <c r="M2" s="583"/>
      <c r="N2" s="583"/>
      <c r="O2" s="583"/>
      <c r="P2" s="583"/>
      <c r="Q2" s="583"/>
    </row>
    <row r="3" spans="1:19" ht="16.149999999999999" customHeight="1" x14ac:dyDescent="0.25">
      <c r="A3" s="607" t="str">
        <f>'DT THU NSNN MAU 32'!A3:N3</f>
        <v>(Kèm theo Tờ trình số:             /TTr-UBND ngày        /11/2024 của UBND huyện Phụng Hiệp)</v>
      </c>
      <c r="B3" s="607"/>
      <c r="C3" s="607"/>
      <c r="D3" s="607"/>
      <c r="E3" s="607"/>
      <c r="F3" s="607"/>
      <c r="G3" s="607"/>
      <c r="H3" s="607"/>
      <c r="I3" s="607"/>
      <c r="J3" s="607"/>
      <c r="K3" s="607"/>
      <c r="L3" s="607"/>
      <c r="M3" s="607"/>
      <c r="N3" s="607"/>
      <c r="O3" s="607"/>
      <c r="P3" s="607"/>
      <c r="Q3" s="607"/>
    </row>
    <row r="4" spans="1:19" ht="16.5" hidden="1" x14ac:dyDescent="0.25">
      <c r="A4" s="607" t="s">
        <v>1357</v>
      </c>
      <c r="B4" s="607"/>
      <c r="C4" s="607"/>
      <c r="D4" s="607"/>
      <c r="E4" s="607"/>
      <c r="F4" s="607"/>
      <c r="G4" s="607"/>
      <c r="H4" s="607"/>
      <c r="I4" s="607"/>
      <c r="J4" s="607"/>
      <c r="K4" s="607"/>
      <c r="L4" s="607"/>
      <c r="M4" s="607"/>
      <c r="N4" s="607"/>
      <c r="O4" s="607"/>
      <c r="P4" s="607"/>
      <c r="Q4" s="607"/>
    </row>
    <row r="5" spans="1:19" ht="16.5" hidden="1" x14ac:dyDescent="0.25">
      <c r="A5" s="607" t="s">
        <v>1392</v>
      </c>
      <c r="B5" s="607"/>
      <c r="C5" s="607"/>
      <c r="D5" s="607"/>
      <c r="E5" s="607"/>
      <c r="F5" s="607"/>
      <c r="G5" s="607"/>
      <c r="H5" s="607"/>
      <c r="I5" s="607"/>
      <c r="J5" s="607"/>
      <c r="K5" s="607"/>
      <c r="L5" s="607"/>
      <c r="M5" s="607"/>
      <c r="N5" s="607"/>
      <c r="O5" s="607"/>
      <c r="P5" s="607"/>
      <c r="Q5" s="607"/>
      <c r="R5" s="449"/>
      <c r="S5" s="449"/>
    </row>
    <row r="6" spans="1:19" x14ac:dyDescent="0.25">
      <c r="O6" s="636" t="s">
        <v>56</v>
      </c>
      <c r="P6" s="636"/>
      <c r="Q6" s="636"/>
    </row>
    <row r="7" spans="1:19" x14ac:dyDescent="0.25">
      <c r="A7" s="632" t="s">
        <v>3</v>
      </c>
      <c r="B7" s="632" t="s">
        <v>161</v>
      </c>
      <c r="C7" s="632" t="s">
        <v>537</v>
      </c>
      <c r="D7" s="632" t="s">
        <v>1030</v>
      </c>
      <c r="E7" s="588" t="s">
        <v>523</v>
      </c>
      <c r="F7" s="588"/>
      <c r="G7" s="588"/>
      <c r="H7" s="588"/>
      <c r="I7" s="588"/>
      <c r="J7" s="588"/>
      <c r="K7" s="588"/>
      <c r="L7" s="588"/>
      <c r="M7" s="641" t="s">
        <v>1028</v>
      </c>
      <c r="N7" s="642"/>
      <c r="O7" s="588" t="s">
        <v>1773</v>
      </c>
      <c r="P7" s="637" t="s">
        <v>1031</v>
      </c>
      <c r="Q7" s="632" t="s">
        <v>1032</v>
      </c>
    </row>
    <row r="8" spans="1:19" ht="37.5" customHeight="1" x14ac:dyDescent="0.25">
      <c r="A8" s="633"/>
      <c r="B8" s="633"/>
      <c r="C8" s="633"/>
      <c r="D8" s="633"/>
      <c r="E8" s="632" t="s">
        <v>1008</v>
      </c>
      <c r="F8" s="632" t="s">
        <v>1009</v>
      </c>
      <c r="G8" s="632" t="s">
        <v>1010</v>
      </c>
      <c r="H8" s="588" t="s">
        <v>1364</v>
      </c>
      <c r="I8" s="588"/>
      <c r="J8" s="632" t="s">
        <v>1029</v>
      </c>
      <c r="K8" s="632" t="s">
        <v>1011</v>
      </c>
      <c r="L8" s="632" t="s">
        <v>1012</v>
      </c>
      <c r="M8" s="643"/>
      <c r="N8" s="644"/>
      <c r="O8" s="589"/>
      <c r="P8" s="638"/>
      <c r="Q8" s="639"/>
    </row>
    <row r="9" spans="1:19" ht="75" customHeight="1" x14ac:dyDescent="0.25">
      <c r="A9" s="634"/>
      <c r="B9" s="634"/>
      <c r="C9" s="634"/>
      <c r="D9" s="634"/>
      <c r="E9" s="634"/>
      <c r="F9" s="634"/>
      <c r="G9" s="634"/>
      <c r="H9" s="416" t="s">
        <v>1020</v>
      </c>
      <c r="I9" s="416" t="s">
        <v>1365</v>
      </c>
      <c r="J9" s="634"/>
      <c r="K9" s="634"/>
      <c r="L9" s="634"/>
      <c r="M9" s="417" t="s">
        <v>1022</v>
      </c>
      <c r="N9" s="417" t="s">
        <v>1021</v>
      </c>
      <c r="O9" s="589"/>
      <c r="P9" s="638"/>
      <c r="Q9" s="640"/>
    </row>
    <row r="10" spans="1:19" s="539" customFormat="1" ht="22.15" customHeight="1" x14ac:dyDescent="0.25">
      <c r="A10" s="538" t="s">
        <v>15</v>
      </c>
      <c r="B10" s="538" t="s">
        <v>16</v>
      </c>
      <c r="C10" s="538">
        <v>1</v>
      </c>
      <c r="D10" s="538" t="s">
        <v>1018</v>
      </c>
      <c r="E10" s="538">
        <v>3</v>
      </c>
      <c r="F10" s="538">
        <v>4</v>
      </c>
      <c r="G10" s="538">
        <v>5</v>
      </c>
      <c r="H10" s="538">
        <v>6</v>
      </c>
      <c r="I10" s="538"/>
      <c r="J10" s="538">
        <v>7</v>
      </c>
      <c r="K10" s="538">
        <v>8</v>
      </c>
      <c r="L10" s="538">
        <v>9</v>
      </c>
      <c r="M10" s="455">
        <v>10</v>
      </c>
      <c r="N10" s="455">
        <v>11</v>
      </c>
      <c r="O10" s="455">
        <v>12</v>
      </c>
      <c r="P10" s="455">
        <v>13</v>
      </c>
      <c r="Q10" s="455">
        <v>14</v>
      </c>
    </row>
    <row r="11" spans="1:19" ht="22.15" customHeight="1" x14ac:dyDescent="0.25">
      <c r="A11" s="44"/>
      <c r="B11" s="43" t="s">
        <v>133</v>
      </c>
      <c r="C11" s="540">
        <f>D11</f>
        <v>109200</v>
      </c>
      <c r="D11" s="540">
        <f t="shared" ref="D11:L11" si="0">SUM(D12:D27)</f>
        <v>109200</v>
      </c>
      <c r="E11" s="540">
        <f t="shared" si="0"/>
        <v>52400</v>
      </c>
      <c r="F11" s="540">
        <f t="shared" si="0"/>
        <v>21000</v>
      </c>
      <c r="G11" s="540">
        <f t="shared" si="0"/>
        <v>3500</v>
      </c>
      <c r="H11" s="540">
        <f t="shared" si="0"/>
        <v>20720</v>
      </c>
      <c r="I11" s="540">
        <f t="shared" si="0"/>
        <v>4080</v>
      </c>
      <c r="J11" s="540">
        <f t="shared" si="0"/>
        <v>5200</v>
      </c>
      <c r="K11" s="540">
        <f t="shared" si="0"/>
        <v>0</v>
      </c>
      <c r="L11" s="540">
        <f t="shared" si="0"/>
        <v>2300</v>
      </c>
      <c r="M11" s="540">
        <f>M12+SUM(M13:M27)</f>
        <v>597086</v>
      </c>
      <c r="N11" s="540">
        <f>N12+SUM(N13:N27)</f>
        <v>96283</v>
      </c>
      <c r="O11" s="540">
        <f>SUM(O12:O27)</f>
        <v>165273</v>
      </c>
      <c r="P11" s="540">
        <f>SUM(P12:P27)</f>
        <v>0</v>
      </c>
      <c r="Q11" s="540">
        <f>SUM(Q12:Q27)</f>
        <v>967842</v>
      </c>
      <c r="R11" s="541">
        <f>967842-Q11</f>
        <v>0</v>
      </c>
    </row>
    <row r="12" spans="1:19" ht="22.15" customHeight="1" x14ac:dyDescent="0.25">
      <c r="A12" s="44">
        <v>1</v>
      </c>
      <c r="B12" s="544" t="s">
        <v>341</v>
      </c>
      <c r="C12" s="542">
        <f>D12</f>
        <v>90580</v>
      </c>
      <c r="D12" s="542">
        <f>SUM(E12:L12)</f>
        <v>90580</v>
      </c>
      <c r="E12" s="542">
        <f>'DT THU NSNN MAU 32'!E11-SUM(E13:E27)</f>
        <v>40250</v>
      </c>
      <c r="F12" s="542">
        <f>'DT THU NSNN MAU 32'!F11</f>
        <v>21000</v>
      </c>
      <c r="G12" s="542">
        <f>'DT THU NSNN MAU 32'!G11-30000</f>
        <v>3500</v>
      </c>
      <c r="H12" s="542">
        <f>'DT THU NSNN MAU 32'!H11</f>
        <v>20720</v>
      </c>
      <c r="I12" s="542">
        <v>0</v>
      </c>
      <c r="J12" s="542">
        <f>'DT THU NSNN MAU 32'!J12+'DT THU NSNN MAU 32'!J13+'DT THU NSNN MAU 32'!J14</f>
        <v>3350</v>
      </c>
      <c r="K12" s="542">
        <v>0</v>
      </c>
      <c r="L12" s="542">
        <f>'DT THU NSNN MAU 32'!N12-400</f>
        <v>1760</v>
      </c>
      <c r="M12" s="542">
        <f>(967842-165273-2199-SUM(M13:M27))-C11-N12</f>
        <v>484044.14133650798</v>
      </c>
      <c r="N12" s="392">
        <f>(81523+14760)-SUM(N13:N27)</f>
        <v>94084</v>
      </c>
      <c r="O12" s="392">
        <v>165273</v>
      </c>
      <c r="P12" s="545">
        <v>0</v>
      </c>
      <c r="Q12" s="546">
        <f>D12+M12+N12+O12</f>
        <v>833981.14133650798</v>
      </c>
    </row>
    <row r="13" spans="1:19" ht="22.15" customHeight="1" x14ac:dyDescent="0.25">
      <c r="A13" s="44">
        <v>2</v>
      </c>
      <c r="B13" s="544" t="s">
        <v>992</v>
      </c>
      <c r="C13" s="542">
        <f t="shared" ref="C13:C27" si="1">D13</f>
        <v>2490</v>
      </c>
      <c r="D13" s="542">
        <f>SUM(E13:L13)</f>
        <v>2490</v>
      </c>
      <c r="E13" s="542">
        <f>'DT THU NSNN MAU 32'!E16</f>
        <v>1900</v>
      </c>
      <c r="F13" s="542">
        <v>0</v>
      </c>
      <c r="G13" s="542">
        <v>0</v>
      </c>
      <c r="H13" s="542">
        <v>0</v>
      </c>
      <c r="I13" s="542">
        <f>'DT THU NSNN MAU 32'!I16</f>
        <v>350</v>
      </c>
      <c r="J13" s="542">
        <f>'DT THU NSNN MAU 32'!J16</f>
        <v>210</v>
      </c>
      <c r="K13" s="542">
        <v>0</v>
      </c>
      <c r="L13" s="542">
        <f>'DT THU NSNN MAU 32'!N16</f>
        <v>30</v>
      </c>
      <c r="M13" s="547">
        <f>'DT CHI NS XA 41'!D10-'DT THU, CHI NSDP VA BSCĐ 39'!C13-N13</f>
        <v>4856.4675592800013</v>
      </c>
      <c r="N13" s="392">
        <v>78</v>
      </c>
      <c r="O13" s="545">
        <v>0</v>
      </c>
      <c r="P13" s="545">
        <v>0</v>
      </c>
      <c r="Q13" s="546">
        <f>D13+M13+N13</f>
        <v>7424.4675592800013</v>
      </c>
    </row>
    <row r="14" spans="1:19" ht="22.15" customHeight="1" x14ac:dyDescent="0.25">
      <c r="A14" s="44">
        <v>3</v>
      </c>
      <c r="B14" s="544" t="s">
        <v>993</v>
      </c>
      <c r="C14" s="542">
        <f t="shared" si="1"/>
        <v>1890</v>
      </c>
      <c r="D14" s="542">
        <f t="shared" ref="D14:D27" si="2">SUM(E14:L14)</f>
        <v>1890</v>
      </c>
      <c r="E14" s="542">
        <f>'DT THU NSNN MAU 32'!E17</f>
        <v>1400</v>
      </c>
      <c r="F14" s="542">
        <v>0</v>
      </c>
      <c r="G14" s="542">
        <v>0</v>
      </c>
      <c r="H14" s="542">
        <v>0</v>
      </c>
      <c r="I14" s="542">
        <f>'DT THU NSNN MAU 32'!I17</f>
        <v>280</v>
      </c>
      <c r="J14" s="542">
        <f>'DT THU NSNN MAU 32'!J17</f>
        <v>180</v>
      </c>
      <c r="K14" s="542">
        <v>0</v>
      </c>
      <c r="L14" s="542">
        <f>'DT THU NSNN MAU 32'!N17</f>
        <v>30</v>
      </c>
      <c r="M14" s="547">
        <f>'DT CHI NS XA 41'!E10-'DT THU, CHI NSDP VA BSCĐ 39'!C14-N14</f>
        <v>5425.6532485240004</v>
      </c>
      <c r="N14" s="392">
        <v>83</v>
      </c>
      <c r="O14" s="545">
        <v>0</v>
      </c>
      <c r="P14" s="545">
        <v>0</v>
      </c>
      <c r="Q14" s="546">
        <f t="shared" ref="Q14:Q27" si="3">D14+M14+N14</f>
        <v>7398.6532485240004</v>
      </c>
    </row>
    <row r="15" spans="1:19" ht="22.15" customHeight="1" x14ac:dyDescent="0.25">
      <c r="A15" s="44">
        <v>4</v>
      </c>
      <c r="B15" s="544" t="s">
        <v>994</v>
      </c>
      <c r="C15" s="542">
        <f t="shared" si="1"/>
        <v>2960</v>
      </c>
      <c r="D15" s="542">
        <f t="shared" si="2"/>
        <v>2960</v>
      </c>
      <c r="E15" s="542">
        <f>'DT THU NSNN MAU 32'!E18</f>
        <v>2210</v>
      </c>
      <c r="F15" s="542">
        <v>0</v>
      </c>
      <c r="G15" s="542">
        <v>0</v>
      </c>
      <c r="H15" s="542">
        <v>0</v>
      </c>
      <c r="I15" s="542">
        <f>'DT THU NSNN MAU 32'!I18</f>
        <v>490</v>
      </c>
      <c r="J15" s="542">
        <f>'DT THU NSNN MAU 32'!J18</f>
        <v>220</v>
      </c>
      <c r="K15" s="542">
        <v>0</v>
      </c>
      <c r="L15" s="542">
        <f>'DT THU NSNN MAU 32'!N18</f>
        <v>40</v>
      </c>
      <c r="M15" s="547">
        <f>'DT CHI NS XA 41'!F10-'DT THU, CHI NSDP VA BSCĐ 39'!C15-N15</f>
        <v>7055.119443491998</v>
      </c>
      <c r="N15" s="392">
        <v>205</v>
      </c>
      <c r="O15" s="545">
        <v>0</v>
      </c>
      <c r="P15" s="545">
        <v>0</v>
      </c>
      <c r="Q15" s="546">
        <f t="shared" si="3"/>
        <v>10220.119443491998</v>
      </c>
    </row>
    <row r="16" spans="1:19" ht="22.15" customHeight="1" x14ac:dyDescent="0.25">
      <c r="A16" s="44">
        <v>5</v>
      </c>
      <c r="B16" s="544" t="s">
        <v>995</v>
      </c>
      <c r="C16" s="542">
        <f t="shared" si="1"/>
        <v>1380</v>
      </c>
      <c r="D16" s="542">
        <f t="shared" si="2"/>
        <v>1380</v>
      </c>
      <c r="E16" s="542">
        <f>'DT THU NSNN MAU 32'!E19</f>
        <v>800</v>
      </c>
      <c r="F16" s="542">
        <v>0</v>
      </c>
      <c r="G16" s="542">
        <v>0</v>
      </c>
      <c r="H16" s="542">
        <v>0</v>
      </c>
      <c r="I16" s="542">
        <f>'DT THU NSNN MAU 32'!I19</f>
        <v>340</v>
      </c>
      <c r="J16" s="542">
        <f>'DT THU NSNN MAU 32'!J19</f>
        <v>200</v>
      </c>
      <c r="K16" s="542">
        <v>0</v>
      </c>
      <c r="L16" s="542">
        <f>'DT THU NSNN MAU 32'!N19</f>
        <v>40</v>
      </c>
      <c r="M16" s="547">
        <f>'DT CHI NS XA 41'!G10-'DT THU, CHI NSDP VA BSCĐ 39'!C16-N16</f>
        <v>8760.3992636399962</v>
      </c>
      <c r="N16" s="392">
        <v>258</v>
      </c>
      <c r="O16" s="545">
        <v>0</v>
      </c>
      <c r="P16" s="545">
        <v>0</v>
      </c>
      <c r="Q16" s="546">
        <f t="shared" si="3"/>
        <v>10398.399263639996</v>
      </c>
    </row>
    <row r="17" spans="1:17" ht="22.15" customHeight="1" x14ac:dyDescent="0.25">
      <c r="A17" s="44">
        <v>6</v>
      </c>
      <c r="B17" s="544" t="s">
        <v>996</v>
      </c>
      <c r="C17" s="542">
        <f t="shared" si="1"/>
        <v>1490</v>
      </c>
      <c r="D17" s="542">
        <f t="shared" si="2"/>
        <v>1490</v>
      </c>
      <c r="E17" s="542">
        <f>'DT THU NSNN MAU 32'!E20</f>
        <v>940</v>
      </c>
      <c r="F17" s="542">
        <v>0</v>
      </c>
      <c r="G17" s="542">
        <v>0</v>
      </c>
      <c r="H17" s="542">
        <v>0</v>
      </c>
      <c r="I17" s="542">
        <f>'DT THU NSNN MAU 32'!I20</f>
        <v>360</v>
      </c>
      <c r="J17" s="542">
        <f>'DT THU NSNN MAU 32'!J20</f>
        <v>140</v>
      </c>
      <c r="K17" s="542">
        <v>0</v>
      </c>
      <c r="L17" s="542">
        <f>'DT THU NSNN MAU 32'!N20</f>
        <v>50</v>
      </c>
      <c r="M17" s="547">
        <f>'DT CHI NS XA 41'!H10-'DT THU, CHI NSDP VA BSCĐ 39'!C17-N17</f>
        <v>7816.9214694119983</v>
      </c>
      <c r="N17" s="392">
        <v>175</v>
      </c>
      <c r="O17" s="545">
        <v>0</v>
      </c>
      <c r="P17" s="545">
        <v>0</v>
      </c>
      <c r="Q17" s="546">
        <f t="shared" si="3"/>
        <v>9481.9214694119983</v>
      </c>
    </row>
    <row r="18" spans="1:17" ht="22.15" customHeight="1" x14ac:dyDescent="0.25">
      <c r="A18" s="44">
        <v>7</v>
      </c>
      <c r="B18" s="544" t="s">
        <v>997</v>
      </c>
      <c r="C18" s="542">
        <f t="shared" si="1"/>
        <v>1420</v>
      </c>
      <c r="D18" s="542">
        <f t="shared" si="2"/>
        <v>1420</v>
      </c>
      <c r="E18" s="542">
        <f>'DT THU NSNN MAU 32'!E21</f>
        <v>990</v>
      </c>
      <c r="F18" s="542">
        <v>0</v>
      </c>
      <c r="G18" s="542">
        <v>0</v>
      </c>
      <c r="H18" s="542">
        <v>0</v>
      </c>
      <c r="I18" s="542">
        <f>'DT THU NSNN MAU 32'!I21</f>
        <v>260</v>
      </c>
      <c r="J18" s="542">
        <f>'DT THU NSNN MAU 32'!J21</f>
        <v>130</v>
      </c>
      <c r="K18" s="542">
        <v>0</v>
      </c>
      <c r="L18" s="542">
        <f>'DT THU NSNN MAU 32'!N21</f>
        <v>40</v>
      </c>
      <c r="M18" s="547">
        <f>'DT CHI NS XA 41'!I10-'DT THU, CHI NSDP VA BSCĐ 39'!C18-N18</f>
        <v>7113.5975443759999</v>
      </c>
      <c r="N18" s="392">
        <v>156</v>
      </c>
      <c r="O18" s="545">
        <v>0</v>
      </c>
      <c r="P18" s="545">
        <v>0</v>
      </c>
      <c r="Q18" s="546">
        <f t="shared" si="3"/>
        <v>8689.5975443759999</v>
      </c>
    </row>
    <row r="19" spans="1:17" ht="22.15" customHeight="1" x14ac:dyDescent="0.25">
      <c r="A19" s="44">
        <v>8</v>
      </c>
      <c r="B19" s="544" t="s">
        <v>998</v>
      </c>
      <c r="C19" s="542">
        <f t="shared" si="1"/>
        <v>270</v>
      </c>
      <c r="D19" s="542">
        <f t="shared" si="2"/>
        <v>270</v>
      </c>
      <c r="E19" s="542">
        <f>'DT THU NSNN MAU 32'!E22</f>
        <v>90</v>
      </c>
      <c r="F19" s="542">
        <v>0</v>
      </c>
      <c r="G19" s="542">
        <v>0</v>
      </c>
      <c r="H19" s="542">
        <v>0</v>
      </c>
      <c r="I19" s="542">
        <f>'DT THU NSNN MAU 32'!I22</f>
        <v>100</v>
      </c>
      <c r="J19" s="542">
        <f>'DT THU NSNN MAU 32'!J22</f>
        <v>50</v>
      </c>
      <c r="K19" s="542">
        <v>0</v>
      </c>
      <c r="L19" s="542">
        <f>'DT THU NSNN MAU 32'!N22</f>
        <v>30</v>
      </c>
      <c r="M19" s="547">
        <f>'DT CHI NS XA 41'!J10-'DT THU, CHI NSDP VA BSCĐ 39'!C19-N19</f>
        <v>7635.7534154079985</v>
      </c>
      <c r="N19" s="392">
        <v>101</v>
      </c>
      <c r="O19" s="545">
        <v>0</v>
      </c>
      <c r="P19" s="545">
        <v>0</v>
      </c>
      <c r="Q19" s="546">
        <f t="shared" si="3"/>
        <v>8006.7534154079985</v>
      </c>
    </row>
    <row r="20" spans="1:17" ht="22.15" customHeight="1" x14ac:dyDescent="0.25">
      <c r="A20" s="44">
        <v>9</v>
      </c>
      <c r="B20" s="544" t="s">
        <v>999</v>
      </c>
      <c r="C20" s="542">
        <f t="shared" si="1"/>
        <v>560</v>
      </c>
      <c r="D20" s="542">
        <f t="shared" si="2"/>
        <v>560</v>
      </c>
      <c r="E20" s="542">
        <f>'DT THU NSNN MAU 32'!E23</f>
        <v>220</v>
      </c>
      <c r="F20" s="542">
        <v>0</v>
      </c>
      <c r="G20" s="542">
        <v>0</v>
      </c>
      <c r="H20" s="542">
        <v>0</v>
      </c>
      <c r="I20" s="542">
        <f>'DT THU NSNN MAU 32'!I23</f>
        <v>250</v>
      </c>
      <c r="J20" s="542">
        <f>'DT THU NSNN MAU 32'!J23</f>
        <v>60</v>
      </c>
      <c r="K20" s="542">
        <v>0</v>
      </c>
      <c r="L20" s="542">
        <f>'DT THU NSNN MAU 32'!N23</f>
        <v>30</v>
      </c>
      <c r="M20" s="547">
        <f>'DT CHI NS XA 41'!K10-'DT THU, CHI NSDP VA BSCĐ 39'!C20-N20</f>
        <v>10436.731758348</v>
      </c>
      <c r="N20" s="392">
        <v>181</v>
      </c>
      <c r="O20" s="545">
        <v>0</v>
      </c>
      <c r="P20" s="545">
        <v>0</v>
      </c>
      <c r="Q20" s="546">
        <f t="shared" si="3"/>
        <v>11177.731758348</v>
      </c>
    </row>
    <row r="21" spans="1:17" ht="22.15" customHeight="1" x14ac:dyDescent="0.25">
      <c r="A21" s="44">
        <v>10</v>
      </c>
      <c r="B21" s="544" t="s">
        <v>1000</v>
      </c>
      <c r="C21" s="542">
        <f t="shared" si="1"/>
        <v>970</v>
      </c>
      <c r="D21" s="542">
        <f t="shared" si="2"/>
        <v>970</v>
      </c>
      <c r="E21" s="542">
        <f>'DT THU NSNN MAU 32'!E24</f>
        <v>760</v>
      </c>
      <c r="F21" s="542">
        <v>0</v>
      </c>
      <c r="G21" s="542">
        <v>0</v>
      </c>
      <c r="H21" s="542">
        <v>0</v>
      </c>
      <c r="I21" s="542">
        <f>'DT THU NSNN MAU 32'!I24</f>
        <v>100</v>
      </c>
      <c r="J21" s="542">
        <f>'DT THU NSNN MAU 32'!J24</f>
        <v>90</v>
      </c>
      <c r="K21" s="542">
        <v>0</v>
      </c>
      <c r="L21" s="542">
        <f>'DT THU NSNN MAU 32'!N24</f>
        <v>20</v>
      </c>
      <c r="M21" s="547">
        <f>'DT CHI NS XA 41'!L10-'DT THU, CHI NSDP VA BSCĐ 39'!C21-N21</f>
        <v>5560.4732007479997</v>
      </c>
      <c r="N21" s="392">
        <v>56</v>
      </c>
      <c r="O21" s="545">
        <v>0</v>
      </c>
      <c r="P21" s="545">
        <v>0</v>
      </c>
      <c r="Q21" s="546">
        <f t="shared" si="3"/>
        <v>6586.4732007479997</v>
      </c>
    </row>
    <row r="22" spans="1:17" ht="22.15" customHeight="1" x14ac:dyDescent="0.25">
      <c r="A22" s="44">
        <v>11</v>
      </c>
      <c r="B22" s="544" t="s">
        <v>1145</v>
      </c>
      <c r="C22" s="542">
        <f t="shared" si="1"/>
        <v>790</v>
      </c>
      <c r="D22" s="542">
        <f t="shared" si="2"/>
        <v>790</v>
      </c>
      <c r="E22" s="542">
        <f>'DT THU NSNN MAU 32'!E25</f>
        <v>420</v>
      </c>
      <c r="F22" s="542">
        <v>0</v>
      </c>
      <c r="G22" s="542">
        <v>0</v>
      </c>
      <c r="H22" s="542">
        <v>0</v>
      </c>
      <c r="I22" s="542">
        <f>'DT THU NSNN MAU 32'!I25</f>
        <v>250</v>
      </c>
      <c r="J22" s="542">
        <f>'DT THU NSNN MAU 32'!J25</f>
        <v>90</v>
      </c>
      <c r="K22" s="542">
        <v>0</v>
      </c>
      <c r="L22" s="542">
        <f>'DT THU NSNN MAU 32'!N25</f>
        <v>30</v>
      </c>
      <c r="M22" s="547">
        <f>'DT CHI NS XA 41'!M10-'DT THU, CHI NSDP VA BSCĐ 39'!C22-N22</f>
        <v>8024.8973240319992</v>
      </c>
      <c r="N22" s="392">
        <v>112</v>
      </c>
      <c r="O22" s="545">
        <v>0</v>
      </c>
      <c r="P22" s="545">
        <v>0</v>
      </c>
      <c r="Q22" s="546">
        <f t="shared" si="3"/>
        <v>8926.8973240319992</v>
      </c>
    </row>
    <row r="23" spans="1:17" ht="22.15" customHeight="1" x14ac:dyDescent="0.25">
      <c r="A23" s="44">
        <v>12</v>
      </c>
      <c r="B23" s="544" t="s">
        <v>1001</v>
      </c>
      <c r="C23" s="542">
        <f t="shared" si="1"/>
        <v>600</v>
      </c>
      <c r="D23" s="542">
        <f t="shared" si="2"/>
        <v>600</v>
      </c>
      <c r="E23" s="542">
        <f>'DT THU NSNN MAU 32'!E26</f>
        <v>370</v>
      </c>
      <c r="F23" s="542">
        <v>0</v>
      </c>
      <c r="G23" s="542">
        <v>0</v>
      </c>
      <c r="H23" s="542">
        <v>0</v>
      </c>
      <c r="I23" s="542">
        <f>'DT THU NSNN MAU 32'!I26</f>
        <v>120</v>
      </c>
      <c r="J23" s="542">
        <f>'DT THU NSNN MAU 32'!J26</f>
        <v>60</v>
      </c>
      <c r="K23" s="542">
        <v>0</v>
      </c>
      <c r="L23" s="542">
        <f>'DT THU NSNN MAU 32'!N26</f>
        <v>50</v>
      </c>
      <c r="M23" s="547">
        <f>'DT CHI NS XA 41'!N10-'DT THU, CHI NSDP VA BSCĐ 39'!C23-N23</f>
        <v>6934.1944963999995</v>
      </c>
      <c r="N23" s="392">
        <v>124</v>
      </c>
      <c r="O23" s="545">
        <v>0</v>
      </c>
      <c r="P23" s="545">
        <v>0</v>
      </c>
      <c r="Q23" s="546">
        <f t="shared" si="3"/>
        <v>7658.1944963999995</v>
      </c>
    </row>
    <row r="24" spans="1:17" ht="22.15" customHeight="1" x14ac:dyDescent="0.25">
      <c r="A24" s="44">
        <v>13</v>
      </c>
      <c r="B24" s="544" t="s">
        <v>1002</v>
      </c>
      <c r="C24" s="542">
        <f t="shared" si="1"/>
        <v>1130</v>
      </c>
      <c r="D24" s="542">
        <f t="shared" si="2"/>
        <v>1130</v>
      </c>
      <c r="E24" s="542">
        <f>'DT THU NSNN MAU 32'!E27</f>
        <v>790</v>
      </c>
      <c r="F24" s="542">
        <v>0</v>
      </c>
      <c r="G24" s="542">
        <v>0</v>
      </c>
      <c r="H24" s="542">
        <v>0</v>
      </c>
      <c r="I24" s="542">
        <f>'DT THU NSNN MAU 32'!I27</f>
        <v>220</v>
      </c>
      <c r="J24" s="542">
        <f>'DT THU NSNN MAU 32'!J27</f>
        <v>90</v>
      </c>
      <c r="K24" s="542">
        <v>0</v>
      </c>
      <c r="L24" s="542">
        <f>'DT THU NSNN MAU 32'!N27</f>
        <v>30</v>
      </c>
      <c r="M24" s="547">
        <f>'DT CHI NS XA 41'!O10-'DT THU, CHI NSDP VA BSCĐ 39'!C24-N24</f>
        <v>7720.3897055199996</v>
      </c>
      <c r="N24" s="392">
        <v>201</v>
      </c>
      <c r="O24" s="545">
        <v>0</v>
      </c>
      <c r="P24" s="545">
        <v>0</v>
      </c>
      <c r="Q24" s="546">
        <f t="shared" si="3"/>
        <v>9051.3897055199996</v>
      </c>
    </row>
    <row r="25" spans="1:17" ht="22.15" customHeight="1" x14ac:dyDescent="0.25">
      <c r="A25" s="44">
        <v>14</v>
      </c>
      <c r="B25" s="544" t="s">
        <v>1003</v>
      </c>
      <c r="C25" s="542">
        <f t="shared" si="1"/>
        <v>1170</v>
      </c>
      <c r="D25" s="542">
        <f t="shared" si="2"/>
        <v>1170</v>
      </c>
      <c r="E25" s="542">
        <f>'DT THU NSNN MAU 32'!E28</f>
        <v>630</v>
      </c>
      <c r="F25" s="542">
        <v>0</v>
      </c>
      <c r="G25" s="542">
        <v>0</v>
      </c>
      <c r="H25" s="542">
        <v>0</v>
      </c>
      <c r="I25" s="542">
        <f>'DT THU NSNN MAU 32'!I28</f>
        <v>350</v>
      </c>
      <c r="J25" s="542">
        <f>'DT THU NSNN MAU 32'!J28</f>
        <v>140</v>
      </c>
      <c r="K25" s="542">
        <v>0</v>
      </c>
      <c r="L25" s="542">
        <f>'DT THU NSNN MAU 32'!N28</f>
        <v>50</v>
      </c>
      <c r="M25" s="547">
        <f>'DT CHI NS XA 41'!P10-'DT THU, CHI NSDP VA BSCĐ 39'!C25-N25</f>
        <v>9684.6388147119997</v>
      </c>
      <c r="N25" s="392">
        <v>179</v>
      </c>
      <c r="O25" s="545">
        <v>0</v>
      </c>
      <c r="P25" s="545">
        <v>0</v>
      </c>
      <c r="Q25" s="546">
        <f t="shared" si="3"/>
        <v>11033.638814712</v>
      </c>
    </row>
    <row r="26" spans="1:17" ht="22.15" customHeight="1" x14ac:dyDescent="0.25">
      <c r="A26" s="44">
        <v>15</v>
      </c>
      <c r="B26" s="544" t="s">
        <v>1004</v>
      </c>
      <c r="C26" s="542">
        <f t="shared" si="1"/>
        <v>1140</v>
      </c>
      <c r="D26" s="542">
        <f t="shared" si="2"/>
        <v>1140</v>
      </c>
      <c r="E26" s="542">
        <f>'DT THU NSNN MAU 32'!E29</f>
        <v>580</v>
      </c>
      <c r="F26" s="542">
        <v>0</v>
      </c>
      <c r="G26" s="542">
        <v>0</v>
      </c>
      <c r="H26" s="542">
        <v>0</v>
      </c>
      <c r="I26" s="542">
        <f>'DT THU NSNN MAU 32'!I29</f>
        <v>360</v>
      </c>
      <c r="J26" s="542">
        <f>'DT THU NSNN MAU 32'!J29</f>
        <v>150</v>
      </c>
      <c r="K26" s="542">
        <v>0</v>
      </c>
      <c r="L26" s="542">
        <f>'DT THU NSNN MAU 32'!N29</f>
        <v>50</v>
      </c>
      <c r="M26" s="547">
        <f>'DT CHI NS XA 41'!Q10-'DT THU, CHI NSDP VA BSCĐ 39'!C26-N26</f>
        <v>9246.8618283999986</v>
      </c>
      <c r="N26" s="392">
        <v>185</v>
      </c>
      <c r="O26" s="545">
        <v>0</v>
      </c>
      <c r="P26" s="545">
        <v>0</v>
      </c>
      <c r="Q26" s="546">
        <f t="shared" si="3"/>
        <v>10571.861828399999</v>
      </c>
    </row>
    <row r="27" spans="1:17" ht="22.15" customHeight="1" x14ac:dyDescent="0.25">
      <c r="A27" s="44">
        <v>16</v>
      </c>
      <c r="B27" s="544" t="s">
        <v>1005</v>
      </c>
      <c r="C27" s="542">
        <f t="shared" si="1"/>
        <v>360</v>
      </c>
      <c r="D27" s="542">
        <f t="shared" si="2"/>
        <v>360</v>
      </c>
      <c r="E27" s="542">
        <f>'DT THU NSNN MAU 32'!E30</f>
        <v>50</v>
      </c>
      <c r="F27" s="542">
        <v>0</v>
      </c>
      <c r="G27" s="542">
        <v>0</v>
      </c>
      <c r="H27" s="542">
        <v>0</v>
      </c>
      <c r="I27" s="542">
        <f>'DT THU NSNN MAU 32'!I30</f>
        <v>250</v>
      </c>
      <c r="J27" s="542">
        <f>'DT THU NSNN MAU 32'!J30</f>
        <v>40</v>
      </c>
      <c r="K27" s="542">
        <v>0</v>
      </c>
      <c r="L27" s="542">
        <f>'DT THU NSNN MAU 32'!N30</f>
        <v>20</v>
      </c>
      <c r="M27" s="547">
        <f>'DT CHI NS XA 41'!R10-'DT THU, CHI NSDP VA BSCĐ 39'!C27-N27</f>
        <v>6769.7595912000006</v>
      </c>
      <c r="N27" s="392">
        <v>105</v>
      </c>
      <c r="O27" s="545">
        <v>0</v>
      </c>
      <c r="P27" s="545">
        <v>0</v>
      </c>
      <c r="Q27" s="546">
        <f t="shared" si="3"/>
        <v>7234.7595912000006</v>
      </c>
    </row>
    <row r="28" spans="1:17" ht="30.75" customHeight="1" x14ac:dyDescent="0.25">
      <c r="A28" s="45" t="s">
        <v>582</v>
      </c>
    </row>
    <row r="29" spans="1:17" x14ac:dyDescent="0.25">
      <c r="A29" s="46" t="s">
        <v>655</v>
      </c>
    </row>
    <row r="30" spans="1:17" x14ac:dyDescent="0.25">
      <c r="A30" s="46" t="s">
        <v>538</v>
      </c>
    </row>
    <row r="31" spans="1:17" x14ac:dyDescent="0.25">
      <c r="A31" s="46" t="s">
        <v>539</v>
      </c>
    </row>
    <row r="35" spans="8:8" x14ac:dyDescent="0.25">
      <c r="H35" s="543"/>
    </row>
  </sheetData>
  <mergeCells count="22">
    <mergeCell ref="A4:Q4"/>
    <mergeCell ref="E8:E9"/>
    <mergeCell ref="H8:I8"/>
    <mergeCell ref="A7:A9"/>
    <mergeCell ref="B7:B9"/>
    <mergeCell ref="A5:Q5"/>
    <mergeCell ref="C7:C9"/>
    <mergeCell ref="D7:D9"/>
    <mergeCell ref="A3:Q3"/>
    <mergeCell ref="O1:Q1"/>
    <mergeCell ref="O6:Q6"/>
    <mergeCell ref="E7:L7"/>
    <mergeCell ref="P7:P9"/>
    <mergeCell ref="Q7:Q9"/>
    <mergeCell ref="A2:Q2"/>
    <mergeCell ref="O7:O9"/>
    <mergeCell ref="F8:F9"/>
    <mergeCell ref="G8:G9"/>
    <mergeCell ref="J8:J9"/>
    <mergeCell ref="K8:K9"/>
    <mergeCell ref="L8:L9"/>
    <mergeCell ref="M7:N8"/>
  </mergeCells>
  <printOptions horizontalCentered="1"/>
  <pageMargins left="0.118110236220472" right="0.118110236220472" top="0.48" bottom="0.15748031496063" header="0.37" footer="0.31496062992126"/>
  <pageSetup paperSize="9" scale="70" orientation="landscape" verticalDpi="0" r:id="rId1"/>
  <headerFooter>
    <oddFooter>&amp;F</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F0000"/>
  </sheetPr>
  <dimension ref="A1:F21"/>
  <sheetViews>
    <sheetView workbookViewId="0">
      <selection activeCell="O8" sqref="O8"/>
    </sheetView>
  </sheetViews>
  <sheetFormatPr defaultRowHeight="15" x14ac:dyDescent="0.25"/>
  <cols>
    <col min="1" max="1" width="6.5703125" customWidth="1"/>
    <col min="2" max="2" width="36.5703125" customWidth="1"/>
    <col min="3" max="6" width="10.42578125" customWidth="1"/>
  </cols>
  <sheetData>
    <row r="1" spans="1:6" ht="15.75" x14ac:dyDescent="0.25">
      <c r="F1" s="25" t="s">
        <v>680</v>
      </c>
    </row>
    <row r="2" spans="1:6" ht="39.75" customHeight="1" x14ac:dyDescent="0.25">
      <c r="A2" s="594" t="s">
        <v>712</v>
      </c>
      <c r="B2" s="594"/>
      <c r="C2" s="594"/>
      <c r="D2" s="594"/>
      <c r="E2" s="594"/>
      <c r="F2" s="594"/>
    </row>
    <row r="3" spans="1:6" ht="15.75" x14ac:dyDescent="0.25">
      <c r="A3" s="551" t="s">
        <v>713</v>
      </c>
      <c r="B3" s="551"/>
      <c r="C3" s="551"/>
      <c r="D3" s="551"/>
      <c r="E3" s="551"/>
      <c r="F3" s="551"/>
    </row>
    <row r="4" spans="1:6" ht="15.75" x14ac:dyDescent="0.25">
      <c r="F4" s="26" t="s">
        <v>714</v>
      </c>
    </row>
    <row r="5" spans="1:6" ht="15.75" x14ac:dyDescent="0.25">
      <c r="A5" s="595" t="s">
        <v>3</v>
      </c>
      <c r="B5" s="595" t="s">
        <v>161</v>
      </c>
      <c r="C5" s="595" t="s">
        <v>715</v>
      </c>
      <c r="D5" s="595"/>
      <c r="E5" s="595"/>
      <c r="F5" s="595"/>
    </row>
    <row r="6" spans="1:6" ht="78" customHeight="1" x14ac:dyDescent="0.25">
      <c r="A6" s="595"/>
      <c r="B6" s="595"/>
      <c r="C6" s="29" t="s">
        <v>716</v>
      </c>
      <c r="D6" s="29" t="s">
        <v>717</v>
      </c>
      <c r="E6" s="29" t="s">
        <v>588</v>
      </c>
      <c r="F6" s="29" t="s">
        <v>173</v>
      </c>
    </row>
    <row r="7" spans="1:6" ht="15.75" x14ac:dyDescent="0.25">
      <c r="A7" s="29" t="s">
        <v>15</v>
      </c>
      <c r="B7" s="29" t="s">
        <v>16</v>
      </c>
      <c r="C7" s="29">
        <v>1</v>
      </c>
      <c r="D7" s="29">
        <v>2</v>
      </c>
      <c r="E7" s="29">
        <v>3</v>
      </c>
      <c r="F7" s="29">
        <v>4</v>
      </c>
    </row>
    <row r="8" spans="1:6" ht="15.75" x14ac:dyDescent="0.25">
      <c r="A8" s="28">
        <v>1</v>
      </c>
      <c r="B8" s="31" t="s">
        <v>169</v>
      </c>
      <c r="C8" s="28"/>
      <c r="D8" s="28"/>
      <c r="E8" s="28"/>
      <c r="F8" s="28"/>
    </row>
    <row r="9" spans="1:6" ht="15.75" x14ac:dyDescent="0.25">
      <c r="A9" s="28">
        <v>2</v>
      </c>
      <c r="B9" s="31" t="s">
        <v>170</v>
      </c>
      <c r="C9" s="28"/>
      <c r="D9" s="28"/>
      <c r="E9" s="28"/>
      <c r="F9" s="28"/>
    </row>
    <row r="10" spans="1:6" ht="15.75" x14ac:dyDescent="0.25">
      <c r="A10" s="28">
        <v>3</v>
      </c>
      <c r="B10" s="31" t="s">
        <v>609</v>
      </c>
      <c r="C10" s="28"/>
      <c r="D10" s="28"/>
      <c r="E10" s="28"/>
      <c r="F10" s="28"/>
    </row>
    <row r="11" spans="1:6" ht="15.75" x14ac:dyDescent="0.25">
      <c r="A11" s="28">
        <v>4</v>
      </c>
      <c r="B11" s="31" t="s">
        <v>172</v>
      </c>
      <c r="C11" s="28"/>
      <c r="D11" s="28"/>
      <c r="E11" s="28"/>
      <c r="F11" s="28"/>
    </row>
    <row r="12" spans="1:6" ht="15.75" x14ac:dyDescent="0.25">
      <c r="A12" s="28">
        <v>5</v>
      </c>
      <c r="B12" s="31" t="s">
        <v>576</v>
      </c>
      <c r="C12" s="28"/>
      <c r="D12" s="28"/>
      <c r="E12" s="28"/>
      <c r="F12" s="28"/>
    </row>
    <row r="13" spans="1:6" ht="15.75" x14ac:dyDescent="0.25">
      <c r="A13" s="28">
        <v>6</v>
      </c>
      <c r="B13" s="31" t="s">
        <v>174</v>
      </c>
      <c r="C13" s="28"/>
      <c r="D13" s="28"/>
      <c r="E13" s="28"/>
      <c r="F13" s="28"/>
    </row>
    <row r="14" spans="1:6" ht="15.75" x14ac:dyDescent="0.25">
      <c r="A14" s="28">
        <v>7</v>
      </c>
      <c r="B14" s="31" t="s">
        <v>175</v>
      </c>
      <c r="C14" s="28"/>
      <c r="D14" s="28"/>
      <c r="E14" s="28"/>
      <c r="F14" s="28"/>
    </row>
    <row r="15" spans="1:6" ht="15.75" x14ac:dyDescent="0.25">
      <c r="A15" s="28">
        <v>8</v>
      </c>
      <c r="B15" s="31" t="s">
        <v>611</v>
      </c>
      <c r="C15" s="28"/>
      <c r="D15" s="28"/>
      <c r="E15" s="28"/>
      <c r="F15" s="28"/>
    </row>
    <row r="16" spans="1:6" ht="15.75" x14ac:dyDescent="0.25">
      <c r="A16" s="28">
        <v>9</v>
      </c>
      <c r="B16" s="31" t="s">
        <v>51</v>
      </c>
      <c r="C16" s="28"/>
      <c r="D16" s="28"/>
      <c r="E16" s="28"/>
      <c r="F16" s="28"/>
    </row>
    <row r="17" spans="1:6" ht="15.75" x14ac:dyDescent="0.25">
      <c r="A17" s="28">
        <v>10</v>
      </c>
      <c r="B17" s="31"/>
      <c r="C17" s="28"/>
      <c r="D17" s="28"/>
      <c r="E17" s="28"/>
      <c r="F17" s="28"/>
    </row>
    <row r="18" spans="1:6" ht="15.75" x14ac:dyDescent="0.25">
      <c r="A18" s="28">
        <v>11</v>
      </c>
      <c r="B18" s="31"/>
      <c r="C18" s="28"/>
      <c r="D18" s="28"/>
      <c r="E18" s="28"/>
      <c r="F18" s="28"/>
    </row>
    <row r="19" spans="1:6" ht="15.75" x14ac:dyDescent="0.25">
      <c r="A19" s="28">
        <v>12</v>
      </c>
      <c r="B19" s="31"/>
      <c r="C19" s="28"/>
      <c r="D19" s="28"/>
      <c r="E19" s="28"/>
      <c r="F19" s="28"/>
    </row>
    <row r="20" spans="1:6" ht="15.75" x14ac:dyDescent="0.25">
      <c r="A20" s="28">
        <v>13</v>
      </c>
      <c r="B20" s="31"/>
      <c r="C20" s="28"/>
      <c r="D20" s="28"/>
      <c r="E20" s="28"/>
      <c r="F20" s="28"/>
    </row>
    <row r="21" spans="1:6" ht="15.75" x14ac:dyDescent="0.25">
      <c r="A21" s="28">
        <v>14</v>
      </c>
      <c r="B21" s="31"/>
      <c r="C21" s="28"/>
      <c r="D21" s="28"/>
      <c r="E21" s="28"/>
      <c r="F21" s="28"/>
    </row>
  </sheetData>
  <mergeCells count="5">
    <mergeCell ref="A5:A6"/>
    <mergeCell ref="B5:B6"/>
    <mergeCell ref="C5:F5"/>
    <mergeCell ref="A2:F2"/>
    <mergeCell ref="A3:F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sheetPr>
  <dimension ref="A1:R72"/>
  <sheetViews>
    <sheetView topLeftCell="A17" zoomScaleNormal="100" workbookViewId="0"/>
  </sheetViews>
  <sheetFormatPr defaultColWidth="9.28515625" defaultRowHeight="15.75" x14ac:dyDescent="0.25"/>
  <cols>
    <col min="1" max="1" width="5.28515625" style="196" customWidth="1"/>
    <col min="2" max="2" width="60.42578125" style="190" customWidth="1"/>
    <col min="3" max="3" width="10.28515625" style="190" bestFit="1" customWidth="1"/>
    <col min="4" max="5" width="9.85546875" style="190" bestFit="1" customWidth="1"/>
    <col min="6" max="11" width="11.140625" style="190" bestFit="1" customWidth="1"/>
    <col min="12" max="12" width="9.85546875" style="190" bestFit="1" customWidth="1"/>
    <col min="13" max="18" width="11.140625" style="190" bestFit="1" customWidth="1"/>
    <col min="19" max="16384" width="9.28515625" style="190"/>
  </cols>
  <sheetData>
    <row r="1" spans="1:18" x14ac:dyDescent="0.25">
      <c r="P1" s="648" t="s">
        <v>1310</v>
      </c>
      <c r="Q1" s="648"/>
      <c r="R1" s="648"/>
    </row>
    <row r="2" spans="1:18" ht="18" customHeight="1" x14ac:dyDescent="0.25">
      <c r="A2" s="619" t="s">
        <v>1743</v>
      </c>
      <c r="B2" s="619"/>
      <c r="C2" s="619"/>
      <c r="D2" s="619"/>
      <c r="E2" s="619"/>
      <c r="F2" s="619"/>
      <c r="G2" s="619"/>
      <c r="H2" s="619"/>
      <c r="I2" s="619"/>
      <c r="J2" s="619"/>
      <c r="K2" s="619"/>
      <c r="L2" s="619"/>
      <c r="M2" s="619"/>
      <c r="N2" s="619"/>
      <c r="O2" s="619"/>
      <c r="P2" s="619"/>
      <c r="Q2" s="619"/>
      <c r="R2" s="619"/>
    </row>
    <row r="3" spans="1:18" ht="22.15" hidden="1" customHeight="1" x14ac:dyDescent="0.25">
      <c r="A3" s="579" t="s">
        <v>1341</v>
      </c>
      <c r="B3" s="579"/>
      <c r="C3" s="579"/>
      <c r="D3" s="579"/>
      <c r="E3" s="579"/>
      <c r="F3" s="579"/>
      <c r="G3" s="579"/>
      <c r="H3" s="579"/>
      <c r="I3" s="579"/>
      <c r="J3" s="579"/>
      <c r="K3" s="579"/>
      <c r="L3" s="579"/>
      <c r="M3" s="579"/>
      <c r="N3" s="579"/>
      <c r="O3" s="579"/>
      <c r="P3" s="579"/>
      <c r="Q3" s="579"/>
      <c r="R3" s="579"/>
    </row>
    <row r="4" spans="1:18" ht="22.15" hidden="1" customHeight="1" x14ac:dyDescent="0.25">
      <c r="A4" s="579" t="s">
        <v>1392</v>
      </c>
      <c r="B4" s="579"/>
      <c r="C4" s="579"/>
      <c r="D4" s="579"/>
      <c r="E4" s="579"/>
      <c r="F4" s="579"/>
      <c r="G4" s="579"/>
      <c r="H4" s="579"/>
      <c r="I4" s="579"/>
      <c r="J4" s="579"/>
      <c r="K4" s="579"/>
      <c r="L4" s="579"/>
      <c r="M4" s="579"/>
      <c r="N4" s="579"/>
      <c r="O4" s="579"/>
      <c r="P4" s="579"/>
      <c r="Q4" s="579"/>
      <c r="R4" s="579"/>
    </row>
    <row r="5" spans="1:18" ht="22.15" customHeight="1" x14ac:dyDescent="0.25">
      <c r="A5" s="579" t="str">
        <f>'DT THU NSNN MAU 32'!A3:N3</f>
        <v>(Kèm theo Tờ trình số:             /TTr-UBND ngày        /11/2024 của UBND huyện Phụng Hiệp)</v>
      </c>
      <c r="B5" s="579"/>
      <c r="C5" s="579"/>
      <c r="D5" s="579"/>
      <c r="E5" s="579"/>
      <c r="F5" s="579"/>
      <c r="G5" s="579"/>
      <c r="H5" s="579"/>
      <c r="I5" s="579"/>
      <c r="J5" s="579"/>
      <c r="K5" s="579"/>
      <c r="L5" s="579"/>
      <c r="M5" s="579"/>
      <c r="N5" s="579"/>
      <c r="O5" s="579"/>
      <c r="P5" s="579"/>
      <c r="Q5" s="579"/>
      <c r="R5" s="579"/>
    </row>
    <row r="6" spans="1:18" ht="17.649999999999999" customHeight="1" x14ac:dyDescent="0.25">
      <c r="A6" s="197"/>
      <c r="B6" s="198"/>
      <c r="C6" s="199"/>
      <c r="D6" s="200"/>
      <c r="E6" s="199"/>
      <c r="F6" s="199"/>
      <c r="G6" s="199"/>
      <c r="H6" s="200"/>
      <c r="I6" s="200"/>
      <c r="J6" s="200"/>
      <c r="K6" s="200"/>
      <c r="L6" s="200"/>
      <c r="M6" s="200"/>
      <c r="N6" s="200"/>
      <c r="O6" s="200"/>
      <c r="P6" s="646" t="s">
        <v>1085</v>
      </c>
      <c r="Q6" s="646"/>
      <c r="R6" s="646"/>
    </row>
    <row r="7" spans="1:18" s="161" customFormat="1" ht="10.5" customHeight="1" x14ac:dyDescent="0.25">
      <c r="A7" s="632" t="s">
        <v>1137</v>
      </c>
      <c r="B7" s="632" t="s">
        <v>1138</v>
      </c>
      <c r="C7" s="632" t="s">
        <v>1139</v>
      </c>
      <c r="D7" s="632" t="s">
        <v>1315</v>
      </c>
      <c r="E7" s="632" t="s">
        <v>1316</v>
      </c>
      <c r="F7" s="632" t="s">
        <v>1317</v>
      </c>
      <c r="G7" s="632" t="s">
        <v>1318</v>
      </c>
      <c r="H7" s="632" t="s">
        <v>1319</v>
      </c>
      <c r="I7" s="632" t="s">
        <v>1320</v>
      </c>
      <c r="J7" s="632" t="s">
        <v>1321</v>
      </c>
      <c r="K7" s="632" t="s">
        <v>1322</v>
      </c>
      <c r="L7" s="632" t="s">
        <v>1323</v>
      </c>
      <c r="M7" s="632" t="s">
        <v>1324</v>
      </c>
      <c r="N7" s="632" t="s">
        <v>1325</v>
      </c>
      <c r="O7" s="632" t="s">
        <v>1326</v>
      </c>
      <c r="P7" s="632" t="s">
        <v>1327</v>
      </c>
      <c r="Q7" s="632" t="s">
        <v>1328</v>
      </c>
      <c r="R7" s="632" t="s">
        <v>1329</v>
      </c>
    </row>
    <row r="8" spans="1:18" s="161" customFormat="1" ht="51.75" customHeight="1" x14ac:dyDescent="0.25">
      <c r="A8" s="645"/>
      <c r="B8" s="647"/>
      <c r="C8" s="645"/>
      <c r="D8" s="645"/>
      <c r="E8" s="645"/>
      <c r="F8" s="645"/>
      <c r="G8" s="645"/>
      <c r="H8" s="645"/>
      <c r="I8" s="645"/>
      <c r="J8" s="645"/>
      <c r="K8" s="645"/>
      <c r="L8" s="645"/>
      <c r="M8" s="645"/>
      <c r="N8" s="645"/>
      <c r="O8" s="645"/>
      <c r="P8" s="645"/>
      <c r="Q8" s="645"/>
      <c r="R8" s="645"/>
    </row>
    <row r="9" spans="1:18" s="161" customFormat="1" x14ac:dyDescent="0.25">
      <c r="A9" s="382"/>
      <c r="B9" s="382" t="s">
        <v>1270</v>
      </c>
      <c r="C9" s="383">
        <f>SUM(D9:R9)</f>
        <v>128</v>
      </c>
      <c r="D9" s="383">
        <v>6</v>
      </c>
      <c r="E9" s="383">
        <v>6</v>
      </c>
      <c r="F9" s="383">
        <v>11</v>
      </c>
      <c r="G9" s="383">
        <v>10</v>
      </c>
      <c r="H9" s="383">
        <v>10</v>
      </c>
      <c r="I9" s="383">
        <v>8</v>
      </c>
      <c r="J9" s="383">
        <v>6</v>
      </c>
      <c r="K9" s="383">
        <v>13</v>
      </c>
      <c r="L9" s="383">
        <v>4</v>
      </c>
      <c r="M9" s="383">
        <v>9</v>
      </c>
      <c r="N9" s="383">
        <v>6</v>
      </c>
      <c r="O9" s="383">
        <v>8</v>
      </c>
      <c r="P9" s="383">
        <v>14</v>
      </c>
      <c r="Q9" s="383">
        <v>12</v>
      </c>
      <c r="R9" s="383">
        <v>5</v>
      </c>
    </row>
    <row r="10" spans="1:18" s="161" customFormat="1" x14ac:dyDescent="0.25">
      <c r="A10" s="382"/>
      <c r="B10" s="382" t="s">
        <v>1096</v>
      </c>
      <c r="C10" s="384">
        <f>SUM(D10:R10)</f>
        <v>133860.85866349199</v>
      </c>
      <c r="D10" s="384">
        <f t="shared" ref="D10:R10" si="0">D11+D44</f>
        <v>7424.4675592800013</v>
      </c>
      <c r="E10" s="384">
        <f t="shared" si="0"/>
        <v>7398.6532485240004</v>
      </c>
      <c r="F10" s="384">
        <f t="shared" si="0"/>
        <v>10220.119443491998</v>
      </c>
      <c r="G10" s="384">
        <f t="shared" si="0"/>
        <v>10398.399263639996</v>
      </c>
      <c r="H10" s="384">
        <f t="shared" si="0"/>
        <v>9481.9214694119983</v>
      </c>
      <c r="I10" s="384">
        <f t="shared" si="0"/>
        <v>8689.5975443759999</v>
      </c>
      <c r="J10" s="384">
        <f t="shared" si="0"/>
        <v>8006.7534154079985</v>
      </c>
      <c r="K10" s="384">
        <f t="shared" si="0"/>
        <v>11177.731758348</v>
      </c>
      <c r="L10" s="384">
        <f t="shared" si="0"/>
        <v>6586.4732007479997</v>
      </c>
      <c r="M10" s="384">
        <f t="shared" si="0"/>
        <v>8926.8973240319992</v>
      </c>
      <c r="N10" s="384">
        <f t="shared" si="0"/>
        <v>7658.1944963999995</v>
      </c>
      <c r="O10" s="384">
        <f t="shared" si="0"/>
        <v>9051.3897055199996</v>
      </c>
      <c r="P10" s="384">
        <f t="shared" si="0"/>
        <v>11033.638814712</v>
      </c>
      <c r="Q10" s="384">
        <f t="shared" si="0"/>
        <v>10571.861828399999</v>
      </c>
      <c r="R10" s="384">
        <f t="shared" si="0"/>
        <v>7234.7595912000006</v>
      </c>
    </row>
    <row r="11" spans="1:18" s="161" customFormat="1" x14ac:dyDescent="0.25">
      <c r="A11" s="382" t="s">
        <v>15</v>
      </c>
      <c r="B11" s="385" t="s">
        <v>1267</v>
      </c>
      <c r="C11" s="384">
        <f>C12+C22+C26+C43</f>
        <v>131236.13594459998</v>
      </c>
      <c r="D11" s="384">
        <f>D12+D22+D26+D43</f>
        <v>7278.8897640000014</v>
      </c>
      <c r="E11" s="384">
        <f t="shared" ref="E11:R11" si="1">E12+E22+E26+E43</f>
        <v>7253.5816162000001</v>
      </c>
      <c r="F11" s="384">
        <f t="shared" si="1"/>
        <v>10019.724944599999</v>
      </c>
      <c r="G11" s="384">
        <f t="shared" si="1"/>
        <v>10194.509081999997</v>
      </c>
      <c r="H11" s="384">
        <f t="shared" si="1"/>
        <v>9296.0014405999991</v>
      </c>
      <c r="I11" s="384">
        <f t="shared" si="1"/>
        <v>8519.2132787999999</v>
      </c>
      <c r="J11" s="384">
        <f t="shared" si="1"/>
        <v>7849.7582503999984</v>
      </c>
      <c r="K11" s="384">
        <f t="shared" si="1"/>
        <v>10958.5605474</v>
      </c>
      <c r="L11" s="384">
        <f t="shared" si="1"/>
        <v>6457.3266673999997</v>
      </c>
      <c r="M11" s="384">
        <f t="shared" si="1"/>
        <v>8751.8601215999988</v>
      </c>
      <c r="N11" s="384">
        <f t="shared" si="1"/>
        <v>7508.0338199999997</v>
      </c>
      <c r="O11" s="384">
        <f t="shared" si="1"/>
        <v>8873.9114759999993</v>
      </c>
      <c r="P11" s="384">
        <f t="shared" si="1"/>
        <v>10817.2929556</v>
      </c>
      <c r="Q11" s="384">
        <f t="shared" si="1"/>
        <v>10364.570419999998</v>
      </c>
      <c r="R11" s="384">
        <f t="shared" si="1"/>
        <v>7092.9015600000002</v>
      </c>
    </row>
    <row r="12" spans="1:18" s="161" customFormat="1" x14ac:dyDescent="0.25">
      <c r="A12" s="382" t="s">
        <v>83</v>
      </c>
      <c r="B12" s="385" t="s">
        <v>1268</v>
      </c>
      <c r="C12" s="386">
        <f>SUM(C13:C21)</f>
        <v>88321.297944599995</v>
      </c>
      <c r="D12" s="386">
        <f t="shared" ref="D12:R12" si="2">SUM(D13:D21)</f>
        <v>5003.512764000001</v>
      </c>
      <c r="E12" s="386">
        <f t="shared" si="2"/>
        <v>4956.1566161999999</v>
      </c>
      <c r="F12" s="386">
        <f t="shared" si="2"/>
        <v>6621.6679445999989</v>
      </c>
      <c r="G12" s="386">
        <f t="shared" si="2"/>
        <v>6908.9600819999987</v>
      </c>
      <c r="H12" s="386">
        <f t="shared" si="2"/>
        <v>6165.8024405999986</v>
      </c>
      <c r="I12" s="386">
        <f t="shared" si="2"/>
        <v>5617.8802787999994</v>
      </c>
      <c r="J12" s="386">
        <f t="shared" si="2"/>
        <v>5551.9812503999983</v>
      </c>
      <c r="K12" s="386">
        <f t="shared" si="2"/>
        <v>7234.3815473999994</v>
      </c>
      <c r="L12" s="386">
        <f t="shared" si="2"/>
        <v>4552.5526673999993</v>
      </c>
      <c r="M12" s="386">
        <f t="shared" si="2"/>
        <v>5921.7891215999989</v>
      </c>
      <c r="N12" s="386">
        <f t="shared" si="2"/>
        <v>5187.5968199999998</v>
      </c>
      <c r="O12" s="386">
        <f t="shared" si="2"/>
        <v>5982.4004759999989</v>
      </c>
      <c r="P12" s="386">
        <f t="shared" si="2"/>
        <v>6912.6479555999995</v>
      </c>
      <c r="Q12" s="386">
        <f t="shared" si="2"/>
        <v>6765.9034199999987</v>
      </c>
      <c r="R12" s="386">
        <f t="shared" si="2"/>
        <v>4938.0645600000007</v>
      </c>
    </row>
    <row r="13" spans="1:18" s="161" customFormat="1" x14ac:dyDescent="0.25">
      <c r="A13" s="387" t="s">
        <v>1042</v>
      </c>
      <c r="B13" s="388" t="s">
        <v>1311</v>
      </c>
      <c r="C13" s="220">
        <f t="shared" ref="C13:C20" si="3">SUM(D13:R13)</f>
        <v>29889.635255999994</v>
      </c>
      <c r="D13" s="220">
        <f>(59.97+2.3+0.1)*2.34*12</f>
        <v>1751.3496</v>
      </c>
      <c r="E13" s="220">
        <f>(59.9+2.2+0.1+0.4719)*2.34*12</f>
        <v>1759.8269519999999</v>
      </c>
      <c r="F13" s="220">
        <f>(73.44+2.2+0.1+0.8277)*2.34*12</f>
        <v>2150.0210159999997</v>
      </c>
      <c r="G13" s="220">
        <f>(75.63+2.2+0.1+0.629)*2.34*12</f>
        <v>2205.9367199999997</v>
      </c>
      <c r="H13" s="220">
        <f>(67.92+2.2+0.1+0.2997)*2.34*12</f>
        <v>1980.193176</v>
      </c>
      <c r="I13" s="220">
        <f>(66.9+2.2+0.1+0.4806)*2.34*12</f>
        <v>1956.6312479999997</v>
      </c>
      <c r="J13" s="220">
        <f>(72.39+2.2+0.1+0.2448)*2.34*12</f>
        <v>2104.1691839999994</v>
      </c>
      <c r="K13" s="220">
        <f>(32.54+41.08+2.2+0.1+0.3663+1.42)*2.34*12</f>
        <v>2181.9929039999997</v>
      </c>
      <c r="L13" s="220">
        <f>(60.21+2.05+0.1+1.42+0.3663+1.45+1.45)*2.34*12</f>
        <v>1882.660104</v>
      </c>
      <c r="M13" s="220">
        <f>(63.89+2.05+0.7392+0.1)*2.34*12</f>
        <v>1875.1599359999996</v>
      </c>
      <c r="N13" s="220">
        <f>(65.44+2.05+0.1)*2.34*12</f>
        <v>1897.9271999999996</v>
      </c>
      <c r="O13" s="220">
        <f>(70.97+2.05+0.1+0.286)*2.34*12</f>
        <v>2061.2404799999995</v>
      </c>
      <c r="P13" s="220">
        <f>(68.92+2.2+0.1+0.2842)*2.34*12</f>
        <v>2007.8379359999997</v>
      </c>
      <c r="Q13" s="220">
        <f>(73.24+2.35+0.1)*2.34*12</f>
        <v>2125.3751999999995</v>
      </c>
      <c r="R13" s="220">
        <f>(67.12+2.2+0.1)*2.34*12</f>
        <v>1949.3136</v>
      </c>
    </row>
    <row r="14" spans="1:18" s="161" customFormat="1" x14ac:dyDescent="0.25">
      <c r="A14" s="387" t="s">
        <v>1043</v>
      </c>
      <c r="B14" s="388" t="s">
        <v>1140</v>
      </c>
      <c r="C14" s="220">
        <f t="shared" si="3"/>
        <v>7388.5092840000007</v>
      </c>
      <c r="D14" s="220">
        <f>(59.97+2.3)*2.34*12*25%</f>
        <v>437.13539999999995</v>
      </c>
      <c r="E14" s="220">
        <f>(59.9+2.2)*2.34*12*25%</f>
        <v>435.94200000000001</v>
      </c>
      <c r="F14" s="220">
        <f>(73.44+2.2)*2.34*12*25%</f>
        <v>530.99279999999999</v>
      </c>
      <c r="G14" s="220">
        <f>(75.63+2.2)*2.34*12*25%</f>
        <v>546.36659999999995</v>
      </c>
      <c r="H14" s="220">
        <f>(67.92+2.2)*2.34*12*25%</f>
        <v>492.24240000000003</v>
      </c>
      <c r="I14" s="220">
        <f>(66.9+2.2)*2.34*12*25%</f>
        <v>485.08200000000005</v>
      </c>
      <c r="J14" s="220">
        <f>(72.39+2.2)*2.34*12*25%</f>
        <v>523.62179999999989</v>
      </c>
      <c r="K14" s="220">
        <f>(32.54+41.08+2.2)*2.34*12*25%</f>
        <v>532.25639999999999</v>
      </c>
      <c r="L14" s="220">
        <f>(60.21+2.05)*2.34*12*25%</f>
        <v>437.06519999999989</v>
      </c>
      <c r="M14" s="220">
        <f>(63.89+2.05)*2.34*12*25%</f>
        <v>462.89879999999999</v>
      </c>
      <c r="N14" s="220">
        <f>(65.44+2.05)*2.34*12*25%</f>
        <v>473.77979999999991</v>
      </c>
      <c r="O14" s="220">
        <f>(70.97+2.05)*2.34*12*25%</f>
        <v>512.60039999999992</v>
      </c>
      <c r="P14" s="220">
        <f>(68.92+2.2+0.2842)*2.34*12*25%</f>
        <v>501.25748399999998</v>
      </c>
      <c r="Q14" s="220">
        <f>(73.24+2.35)*2.34*12*25%</f>
        <v>530.64179999999988</v>
      </c>
      <c r="R14" s="220">
        <f>(67.12+2.2)*2.34*12*25%</f>
        <v>486.62639999999999</v>
      </c>
    </row>
    <row r="15" spans="1:18" s="161" customFormat="1" x14ac:dyDescent="0.25">
      <c r="A15" s="387" t="s">
        <v>1044</v>
      </c>
      <c r="B15" s="388" t="s">
        <v>1313</v>
      </c>
      <c r="C15" s="220">
        <f t="shared" si="3"/>
        <v>6681.4979165999994</v>
      </c>
      <c r="D15" s="220">
        <f>(59.97+2.3+0.328)*2.34*12*22.5%</f>
        <v>395.49416400000001</v>
      </c>
      <c r="E15" s="220">
        <f>(59.9+2.2+0.4719)*2.34*12*22.5%</f>
        <v>395.32926420000001</v>
      </c>
      <c r="F15" s="220">
        <f>(73.44+2.2+0.8277)*2.34*12*22.5%</f>
        <v>483.12292859999997</v>
      </c>
      <c r="G15" s="220">
        <f>(75.63+2.2+0.629)*2.34*12*22.5%</f>
        <v>495.70396199999993</v>
      </c>
      <c r="H15" s="220">
        <f>(67.92+2.2+0.2997)*2.34*12*22.5%</f>
        <v>444.91166459999994</v>
      </c>
      <c r="I15" s="220">
        <f>(66.9+2.2+0.4806)*2.34*12*22.5%</f>
        <v>439.61023080000001</v>
      </c>
      <c r="J15" s="220">
        <f>(72.39+2.2+0.2448)*2.34*12*22.5%</f>
        <v>472.80626639999997</v>
      </c>
      <c r="K15" s="220">
        <f>(32.54+41.08+2.2+0.3663)*2.34*12*22.5%</f>
        <v>481.34504339999995</v>
      </c>
      <c r="L15" s="220">
        <f>(60.21+2.05+0.3663)*2.34*12*22.5%</f>
        <v>395.67296340000001</v>
      </c>
      <c r="M15" s="220">
        <f>(63.89+2.05+0.7392)*2.34*12*22.5%</f>
        <v>421.27918559999989</v>
      </c>
      <c r="N15" s="220">
        <f>(65.44+2.05)*2.34*12*22.5%</f>
        <v>426.40181999999993</v>
      </c>
      <c r="O15" s="220">
        <f>(70.97+2.05+0.286)*2.34*12*22.5%</f>
        <v>463.14730800000001</v>
      </c>
      <c r="P15" s="220">
        <f>(68.92+2.2+0.2842)*2.34*12*22.5%</f>
        <v>451.13173560000001</v>
      </c>
      <c r="Q15" s="220">
        <f>(73.24+2.35)*2.34*12*22.5%</f>
        <v>477.57761999999991</v>
      </c>
      <c r="R15" s="220">
        <f>(67.12+2.2)*2.34*12*22.5%</f>
        <v>437.96375999999998</v>
      </c>
    </row>
    <row r="16" spans="1:18" s="161" customFormat="1" x14ac:dyDescent="0.25">
      <c r="A16" s="387" t="s">
        <v>1045</v>
      </c>
      <c r="B16" s="388" t="s">
        <v>1312</v>
      </c>
      <c r="C16" s="220">
        <f t="shared" si="3"/>
        <v>11013.919487999998</v>
      </c>
      <c r="D16" s="220">
        <f>(21.7)*2.34*12+12*2.34*12*17%</f>
        <v>666.61919999999998</v>
      </c>
      <c r="E16" s="220">
        <f>(20.8+1.45+2.8)*2.34*12+11*2.34*12*17%</f>
        <v>755.91359999999997</v>
      </c>
      <c r="F16" s="220">
        <f>(24.94)*2.34*12+13*2.34*12*17%</f>
        <v>762.37199999999996</v>
      </c>
      <c r="G16" s="220">
        <f>(24.77+1.64)*2.34*12+13*2.34*12*17%</f>
        <v>803.64959999999996</v>
      </c>
      <c r="H16" s="220">
        <f>(25.67)*2.34*12+13*2.34*12*17%</f>
        <v>782.8703999999999</v>
      </c>
      <c r="I16" s="220">
        <f>(22.11)*2.34*12+10*2.34*12*17%</f>
        <v>668.58479999999997</v>
      </c>
      <c r="J16" s="220">
        <f>(23.72+1.55)*2.34*12+13*2.34*12*17%</f>
        <v>771.63839999999993</v>
      </c>
      <c r="K16" s="220">
        <f>(26.35)*2.34*12+12*2.34*12*17%</f>
        <v>797.19119999999998</v>
      </c>
      <c r="L16" s="220">
        <f>(15.78+1.45)*2.34*12+9*2.34*12*17%</f>
        <v>526.7808</v>
      </c>
      <c r="M16" s="220">
        <f>(24.73)*2.34*12+14*2.34*12*17%</f>
        <v>761.24879999999996</v>
      </c>
      <c r="N16" s="220">
        <f>(23.02)*2.34*12+13*2.34*12*17%</f>
        <v>708.45839999999987</v>
      </c>
      <c r="O16" s="220">
        <f>(27.48+0.1836)*2.34*12+14*2.34*12*17%</f>
        <v>843.62428799999998</v>
      </c>
      <c r="P16" s="220">
        <f>(23.64)*2.34*12+13*2.34*12*17%</f>
        <v>725.86799999999994</v>
      </c>
      <c r="Q16" s="220">
        <f>(26.5)*2.34*12+13*2.34*12*17%</f>
        <v>806.17679999999996</v>
      </c>
      <c r="R16" s="220">
        <f>(20.5)*2.34*12+12*2.34*12*17%</f>
        <v>632.92319999999995</v>
      </c>
    </row>
    <row r="17" spans="1:18" s="161" customFormat="1" x14ac:dyDescent="0.25">
      <c r="A17" s="387" t="s">
        <v>1046</v>
      </c>
      <c r="B17" s="388" t="s">
        <v>1744</v>
      </c>
      <c r="C17" s="220">
        <f t="shared" si="3"/>
        <v>23958.417599999997</v>
      </c>
      <c r="D17" s="220">
        <f>((33.7+7.6)*2.34*12)+(12*2.34*12*3%)</f>
        <v>1169.8128000000002</v>
      </c>
      <c r="E17" s="220">
        <f>((31.38+5.1)*2.34*12)+(12*2.34*12*3%)</f>
        <v>1034.4671999999998</v>
      </c>
      <c r="F17" s="220">
        <f>((60.3+6.4+4.8)*2.34*12)+(24*2.34*12*3%)</f>
        <v>2027.9376</v>
      </c>
      <c r="G17" s="220">
        <f>((55.32+13.1)*2.34*12)+(20*2.34*12*3%)</f>
        <v>1938.0816</v>
      </c>
      <c r="H17" s="220">
        <f>((53.04+12.5)*2.34*12)+(20*2.34*12*3%)</f>
        <v>1857.2111999999995</v>
      </c>
      <c r="I17" s="220">
        <f>((41.1+10.1)*2.34*12)+(16*2.34*12*3%)</f>
        <v>1451.1743999999999</v>
      </c>
      <c r="J17" s="220">
        <f>((31.46+7.4)*2.34*12)+(12*2.34*12*3%)</f>
        <v>1101.2975999999999</v>
      </c>
      <c r="K17" s="220">
        <f>(91.5*2.34*12)+(26*2.34*12*3%)</f>
        <v>2591.2223999999997</v>
      </c>
      <c r="L17" s="220">
        <f>((21.06+5.2)*2.34*12)+(8*2.34*12*3%)</f>
        <v>744.11999999999989</v>
      </c>
      <c r="M17" s="220">
        <f>((47.02+11.5)*2.34*12)+(18*2.34*12*3%)</f>
        <v>1658.4048</v>
      </c>
      <c r="N17" s="220">
        <f>((32.74+6.3)*2.34*12)+(12*2.34*12*3%)</f>
        <v>1106.3519999999999</v>
      </c>
      <c r="O17" s="220">
        <f>((47.6+6.3)*2.34*12)+(16*2.34*12*3%)</f>
        <v>1526.9903999999999</v>
      </c>
      <c r="P17" s="220">
        <f>((75+17.4)*2.34*12)+(28*2.34*12*3%)</f>
        <v>2618.1792</v>
      </c>
      <c r="Q17" s="220">
        <f>((65.76+12.8)*2.34*12)+(24*2.34*12*3%)</f>
        <v>2226.1823999999997</v>
      </c>
      <c r="R17" s="220">
        <f>((23.5+8.5)*2.34*12)+(10*2.34*12*3%)</f>
        <v>906.98399999999992</v>
      </c>
    </row>
    <row r="18" spans="1:18" s="161" customFormat="1" x14ac:dyDescent="0.25">
      <c r="A18" s="387" t="s">
        <v>1047</v>
      </c>
      <c r="B18" s="388" t="s">
        <v>1141</v>
      </c>
      <c r="C18" s="220">
        <f t="shared" si="3"/>
        <v>1008</v>
      </c>
      <c r="D18" s="220">
        <f>(3.5*12)</f>
        <v>42</v>
      </c>
      <c r="E18" s="220">
        <f>(3.5*12)</f>
        <v>42</v>
      </c>
      <c r="F18" s="220">
        <f>(3.5*12)+(3.5*12)</f>
        <v>84</v>
      </c>
      <c r="G18" s="220">
        <f>8*3.5*12</f>
        <v>336</v>
      </c>
      <c r="H18" s="220">
        <f>(3.5*12)</f>
        <v>42</v>
      </c>
      <c r="I18" s="220">
        <f>(3.5*12)</f>
        <v>42</v>
      </c>
      <c r="J18" s="389">
        <v>0</v>
      </c>
      <c r="K18" s="220">
        <f>(3.5*12*2)</f>
        <v>84</v>
      </c>
      <c r="L18" s="220">
        <f>(3.5*12)</f>
        <v>42</v>
      </c>
      <c r="M18" s="220">
        <f>(4*3.5*12)</f>
        <v>168</v>
      </c>
      <c r="N18" s="220">
        <f>(3.5*12)</f>
        <v>42</v>
      </c>
      <c r="O18" s="389">
        <v>0</v>
      </c>
      <c r="P18" s="220">
        <f>(1*3.5*12)</f>
        <v>42</v>
      </c>
      <c r="Q18" s="220">
        <f>(3.5*12)</f>
        <v>42</v>
      </c>
      <c r="R18" s="220"/>
    </row>
    <row r="19" spans="1:18" s="161" customFormat="1" x14ac:dyDescent="0.25">
      <c r="A19" s="387" t="s">
        <v>1048</v>
      </c>
      <c r="B19" s="388" t="s">
        <v>1745</v>
      </c>
      <c r="C19" s="220">
        <f t="shared" si="3"/>
        <v>3946.0823999999998</v>
      </c>
      <c r="D19" s="220">
        <f>25*0.3*12*2.34+1.42*12*2.34</f>
        <v>250.47359999999998</v>
      </c>
      <c r="E19" s="220">
        <f>24*0.3*12*2.34+1.42*12*2.34</f>
        <v>242.04959999999994</v>
      </c>
      <c r="F19" s="220">
        <f>29*0.3*12*2.34+1.42*12*2.34</f>
        <v>284.16959999999995</v>
      </c>
      <c r="G19" s="220">
        <f>29*0.3*12*2.34+1.42*12*2.34</f>
        <v>284.16959999999995</v>
      </c>
      <c r="H19" s="220">
        <f>28*0.3*12*2.34+1.42*12*2.34</f>
        <v>275.74560000000002</v>
      </c>
      <c r="I19" s="220">
        <f>28*0.3*12*2.34+1.42*12*2.34</f>
        <v>275.74560000000002</v>
      </c>
      <c r="J19" s="220">
        <f>25*0.3*12*2.34+2.45*12*2.34</f>
        <v>279.39600000000002</v>
      </c>
      <c r="K19" s="220">
        <f>28*0.3*12*2.34+1.42*12*2.34</f>
        <v>275.74560000000002</v>
      </c>
      <c r="L19" s="220">
        <f>21*0.3*12*2.34+1.42*12*2.34</f>
        <v>216.77759999999995</v>
      </c>
      <c r="M19" s="220">
        <f>28*0.3*12*2.34+1.42*12*2.34</f>
        <v>275.74560000000002</v>
      </c>
      <c r="N19" s="220">
        <f>23*0.3*12*2.34+1.42*12*2.34</f>
        <v>233.62559999999996</v>
      </c>
      <c r="O19" s="220">
        <f>28*0.3*12*2.34+1.42*12*2.34</f>
        <v>275.74560000000002</v>
      </c>
      <c r="P19" s="220">
        <f>28*0.3*12*2.34+1.42*12*2.34</f>
        <v>275.74560000000002</v>
      </c>
      <c r="Q19" s="220">
        <f>27*0.3*12*2.34+1.42*12*2.34</f>
        <v>267.32159999999993</v>
      </c>
      <c r="R19" s="220">
        <f>23*0.3*12*2.34+1.42*12*2.34</f>
        <v>233.62559999999996</v>
      </c>
    </row>
    <row r="20" spans="1:18" s="161" customFormat="1" x14ac:dyDescent="0.25">
      <c r="A20" s="387" t="s">
        <v>1049</v>
      </c>
      <c r="B20" s="388" t="s">
        <v>1396</v>
      </c>
      <c r="C20" s="220">
        <f t="shared" si="3"/>
        <v>2590.3799999999997</v>
      </c>
      <c r="D20" s="220">
        <f>5*2.34*12*1.2+5*2.34*12*3%</f>
        <v>172.69199999999995</v>
      </c>
      <c r="E20" s="220">
        <f t="shared" ref="E20:R20" si="4">5*2.34*12*1.2+5*2.34*12*3%</f>
        <v>172.69199999999995</v>
      </c>
      <c r="F20" s="220">
        <f t="shared" si="4"/>
        <v>172.69199999999995</v>
      </c>
      <c r="G20" s="220">
        <f t="shared" si="4"/>
        <v>172.69199999999995</v>
      </c>
      <c r="H20" s="220">
        <f t="shared" si="4"/>
        <v>172.69199999999995</v>
      </c>
      <c r="I20" s="220">
        <f t="shared" si="4"/>
        <v>172.69199999999995</v>
      </c>
      <c r="J20" s="220">
        <f t="shared" si="4"/>
        <v>172.69199999999995</v>
      </c>
      <c r="K20" s="220">
        <f t="shared" si="4"/>
        <v>172.69199999999995</v>
      </c>
      <c r="L20" s="220">
        <f t="shared" si="4"/>
        <v>172.69199999999995</v>
      </c>
      <c r="M20" s="220">
        <f t="shared" si="4"/>
        <v>172.69199999999995</v>
      </c>
      <c r="N20" s="220">
        <f t="shared" si="4"/>
        <v>172.69199999999995</v>
      </c>
      <c r="O20" s="220">
        <f t="shared" si="4"/>
        <v>172.69199999999995</v>
      </c>
      <c r="P20" s="220">
        <f t="shared" si="4"/>
        <v>172.69199999999995</v>
      </c>
      <c r="Q20" s="220">
        <f t="shared" si="4"/>
        <v>172.69199999999995</v>
      </c>
      <c r="R20" s="220">
        <f t="shared" si="4"/>
        <v>172.69199999999995</v>
      </c>
    </row>
    <row r="21" spans="1:18" s="161" customFormat="1" x14ac:dyDescent="0.25">
      <c r="A21" s="387" t="s">
        <v>1050</v>
      </c>
      <c r="B21" s="388" t="s">
        <v>1142</v>
      </c>
      <c r="C21" s="220">
        <f t="shared" ref="C21:C27" si="5">SUM(D21:R21)</f>
        <v>1844.8559999999995</v>
      </c>
      <c r="D21" s="220">
        <f>14*0.3*2.34*12</f>
        <v>117.93599999999999</v>
      </c>
      <c r="E21" s="220">
        <f>14*0.3*2.34*12</f>
        <v>117.93599999999999</v>
      </c>
      <c r="F21" s="220">
        <f>15*0.3*2.34*12</f>
        <v>126.35999999999999</v>
      </c>
      <c r="G21" s="220">
        <f>15*0.3*2.34*12</f>
        <v>126.35999999999999</v>
      </c>
      <c r="H21" s="220">
        <f>14*0.3*2.34*12</f>
        <v>117.93599999999999</v>
      </c>
      <c r="I21" s="220">
        <f>15*0.3*2.34*12</f>
        <v>126.35999999999999</v>
      </c>
      <c r="J21" s="220">
        <f>15*0.3*2.34*12</f>
        <v>126.35999999999999</v>
      </c>
      <c r="K21" s="220">
        <f>14*0.3*2.34*12</f>
        <v>117.93599999999999</v>
      </c>
      <c r="L21" s="220">
        <f>16*0.3*2.34*12</f>
        <v>134.78399999999999</v>
      </c>
      <c r="M21" s="220">
        <f>15*0.3*2.34*12</f>
        <v>126.35999999999999</v>
      </c>
      <c r="N21" s="220">
        <f>15*0.3*2.34*12</f>
        <v>126.35999999999999</v>
      </c>
      <c r="O21" s="220">
        <f>15*0.3*2.34*12</f>
        <v>126.35999999999999</v>
      </c>
      <c r="P21" s="220">
        <f>14*0.3*2.34*12</f>
        <v>117.93599999999999</v>
      </c>
      <c r="Q21" s="220">
        <f>14*0.3*2.34*12</f>
        <v>117.93599999999999</v>
      </c>
      <c r="R21" s="220">
        <f>14*0.3*2.34*12</f>
        <v>117.93599999999999</v>
      </c>
    </row>
    <row r="22" spans="1:18" s="161" customFormat="1" x14ac:dyDescent="0.25">
      <c r="A22" s="382" t="s">
        <v>70</v>
      </c>
      <c r="B22" s="390" t="s">
        <v>1266</v>
      </c>
      <c r="C22" s="390">
        <f>SUM(D22:R22)</f>
        <v>21255</v>
      </c>
      <c r="D22" s="390">
        <f>SUM(D23:D25)</f>
        <v>1245</v>
      </c>
      <c r="E22" s="390">
        <f t="shared" ref="E22:R22" si="6">SUM(E23:E25)</f>
        <v>1245</v>
      </c>
      <c r="F22" s="390">
        <f t="shared" si="6"/>
        <v>1575</v>
      </c>
      <c r="G22" s="390">
        <f t="shared" si="6"/>
        <v>1485</v>
      </c>
      <c r="H22" s="390">
        <f t="shared" si="6"/>
        <v>1485</v>
      </c>
      <c r="I22" s="390">
        <f t="shared" si="6"/>
        <v>1425</v>
      </c>
      <c r="J22" s="390">
        <f t="shared" si="6"/>
        <v>1245</v>
      </c>
      <c r="K22" s="390">
        <f t="shared" si="6"/>
        <v>1755</v>
      </c>
      <c r="L22" s="390">
        <f t="shared" si="6"/>
        <v>1065</v>
      </c>
      <c r="M22" s="390">
        <f t="shared" si="6"/>
        <v>1395</v>
      </c>
      <c r="N22" s="390">
        <f t="shared" si="6"/>
        <v>1245</v>
      </c>
      <c r="O22" s="390">
        <f t="shared" si="6"/>
        <v>1425</v>
      </c>
      <c r="P22" s="390">
        <f t="shared" si="6"/>
        <v>1845</v>
      </c>
      <c r="Q22" s="390">
        <f t="shared" si="6"/>
        <v>1665</v>
      </c>
      <c r="R22" s="390">
        <f t="shared" si="6"/>
        <v>1155</v>
      </c>
    </row>
    <row r="23" spans="1:18" s="161" customFormat="1" x14ac:dyDescent="0.25">
      <c r="A23" s="388">
        <v>1</v>
      </c>
      <c r="B23" s="388" t="s">
        <v>1746</v>
      </c>
      <c r="C23" s="388">
        <f t="shared" si="5"/>
        <v>8775</v>
      </c>
      <c r="D23" s="388">
        <f>650*90%</f>
        <v>585</v>
      </c>
      <c r="E23" s="388">
        <f t="shared" ref="E23:R23" si="7">650*90%</f>
        <v>585</v>
      </c>
      <c r="F23" s="388">
        <f t="shared" si="7"/>
        <v>585</v>
      </c>
      <c r="G23" s="388">
        <f t="shared" si="7"/>
        <v>585</v>
      </c>
      <c r="H23" s="388">
        <f t="shared" si="7"/>
        <v>585</v>
      </c>
      <c r="I23" s="388">
        <f t="shared" si="7"/>
        <v>585</v>
      </c>
      <c r="J23" s="388">
        <f t="shared" si="7"/>
        <v>585</v>
      </c>
      <c r="K23" s="388">
        <f t="shared" si="7"/>
        <v>585</v>
      </c>
      <c r="L23" s="388">
        <f t="shared" si="7"/>
        <v>585</v>
      </c>
      <c r="M23" s="388">
        <f t="shared" si="7"/>
        <v>585</v>
      </c>
      <c r="N23" s="388">
        <f t="shared" si="7"/>
        <v>585</v>
      </c>
      <c r="O23" s="388">
        <f t="shared" si="7"/>
        <v>585</v>
      </c>
      <c r="P23" s="388">
        <f t="shared" si="7"/>
        <v>585</v>
      </c>
      <c r="Q23" s="388">
        <f t="shared" si="7"/>
        <v>585</v>
      </c>
      <c r="R23" s="388">
        <f t="shared" si="7"/>
        <v>585</v>
      </c>
    </row>
    <row r="24" spans="1:18" s="161" customFormat="1" x14ac:dyDescent="0.25">
      <c r="A24" s="388">
        <v>2</v>
      </c>
      <c r="B24" s="201" t="s">
        <v>1747</v>
      </c>
      <c r="C24" s="388">
        <f>SUM(D24:R24)</f>
        <v>11520</v>
      </c>
      <c r="D24" s="388">
        <f t="shared" ref="D24:R24" si="8">(100*D9)*90%</f>
        <v>540</v>
      </c>
      <c r="E24" s="388">
        <f t="shared" si="8"/>
        <v>540</v>
      </c>
      <c r="F24" s="388">
        <f t="shared" si="8"/>
        <v>990</v>
      </c>
      <c r="G24" s="388">
        <f t="shared" si="8"/>
        <v>900</v>
      </c>
      <c r="H24" s="388">
        <f t="shared" si="8"/>
        <v>900</v>
      </c>
      <c r="I24" s="388">
        <f t="shared" si="8"/>
        <v>720</v>
      </c>
      <c r="J24" s="388">
        <f t="shared" si="8"/>
        <v>540</v>
      </c>
      <c r="K24" s="388">
        <f t="shared" si="8"/>
        <v>1170</v>
      </c>
      <c r="L24" s="388">
        <f t="shared" si="8"/>
        <v>360</v>
      </c>
      <c r="M24" s="388">
        <f t="shared" si="8"/>
        <v>810</v>
      </c>
      <c r="N24" s="388">
        <f t="shared" si="8"/>
        <v>540</v>
      </c>
      <c r="O24" s="388">
        <f t="shared" si="8"/>
        <v>720</v>
      </c>
      <c r="P24" s="388">
        <f t="shared" si="8"/>
        <v>1260</v>
      </c>
      <c r="Q24" s="388">
        <f t="shared" si="8"/>
        <v>1080</v>
      </c>
      <c r="R24" s="388">
        <f t="shared" si="8"/>
        <v>450</v>
      </c>
    </row>
    <row r="25" spans="1:18" s="161" customFormat="1" ht="31.5" x14ac:dyDescent="0.25">
      <c r="A25" s="388">
        <v>3</v>
      </c>
      <c r="B25" s="391" t="s">
        <v>1748</v>
      </c>
      <c r="C25" s="392">
        <f>SUM(D25:R25)</f>
        <v>960</v>
      </c>
      <c r="D25" s="392">
        <f>D9*20</f>
        <v>120</v>
      </c>
      <c r="E25" s="392">
        <f>E9*20</f>
        <v>120</v>
      </c>
      <c r="F25" s="392">
        <v>0</v>
      </c>
      <c r="G25" s="392">
        <v>0</v>
      </c>
      <c r="H25" s="392">
        <v>0</v>
      </c>
      <c r="I25" s="392">
        <f>I9*15</f>
        <v>120</v>
      </c>
      <c r="J25" s="392">
        <f>J9*20</f>
        <v>120</v>
      </c>
      <c r="K25" s="392">
        <v>0</v>
      </c>
      <c r="L25" s="392">
        <f>L9*30</f>
        <v>120</v>
      </c>
      <c r="M25" s="392">
        <v>0</v>
      </c>
      <c r="N25" s="392">
        <f>N9*20</f>
        <v>120</v>
      </c>
      <c r="O25" s="392">
        <f>O9*15</f>
        <v>120</v>
      </c>
      <c r="P25" s="392">
        <v>0</v>
      </c>
      <c r="Q25" s="392">
        <v>0</v>
      </c>
      <c r="R25" s="392">
        <f>R9*24</f>
        <v>120</v>
      </c>
    </row>
    <row r="26" spans="1:18" s="393" customFormat="1" x14ac:dyDescent="0.25">
      <c r="A26" s="390" t="s">
        <v>73</v>
      </c>
      <c r="B26" s="390" t="s">
        <v>1575</v>
      </c>
      <c r="C26" s="390">
        <f>SUM(D26:R26)</f>
        <v>19404.838</v>
      </c>
      <c r="D26" s="390">
        <f t="shared" ref="D26:R26" si="9">SUM(D27:D42)</f>
        <v>905.37700000000007</v>
      </c>
      <c r="E26" s="390">
        <f t="shared" si="9"/>
        <v>927.42500000000007</v>
      </c>
      <c r="F26" s="390">
        <f t="shared" si="9"/>
        <v>1648.057</v>
      </c>
      <c r="G26" s="390">
        <f t="shared" si="9"/>
        <v>1635.549</v>
      </c>
      <c r="H26" s="390">
        <f t="shared" si="9"/>
        <v>1480.1990000000001</v>
      </c>
      <c r="I26" s="390">
        <f t="shared" si="9"/>
        <v>1331.3329999999999</v>
      </c>
      <c r="J26" s="390">
        <f t="shared" si="9"/>
        <v>927.77700000000004</v>
      </c>
      <c r="K26" s="390">
        <f t="shared" si="9"/>
        <v>1774.1790000000001</v>
      </c>
      <c r="L26" s="390">
        <f t="shared" si="9"/>
        <v>734.774</v>
      </c>
      <c r="M26" s="390">
        <f t="shared" si="9"/>
        <v>1280.0709999999999</v>
      </c>
      <c r="N26" s="390">
        <f t="shared" si="9"/>
        <v>950.43700000000001</v>
      </c>
      <c r="O26" s="390">
        <f t="shared" si="9"/>
        <v>1321.511</v>
      </c>
      <c r="P26" s="390">
        <f t="shared" si="9"/>
        <v>1854.645</v>
      </c>
      <c r="Q26" s="390">
        <f t="shared" si="9"/>
        <v>1748.6669999999999</v>
      </c>
      <c r="R26" s="390">
        <f t="shared" si="9"/>
        <v>884.83699999999999</v>
      </c>
    </row>
    <row r="27" spans="1:18" s="161" customFormat="1" ht="31.5" x14ac:dyDescent="0.25">
      <c r="A27" s="394">
        <v>1</v>
      </c>
      <c r="B27" s="395" t="s">
        <v>1265</v>
      </c>
      <c r="C27" s="388">
        <f t="shared" si="5"/>
        <v>1792</v>
      </c>
      <c r="D27" s="388">
        <f t="shared" ref="D27:R27" si="10">14*D9</f>
        <v>84</v>
      </c>
      <c r="E27" s="388">
        <f t="shared" si="10"/>
        <v>84</v>
      </c>
      <c r="F27" s="388">
        <f t="shared" si="10"/>
        <v>154</v>
      </c>
      <c r="G27" s="388">
        <f t="shared" si="10"/>
        <v>140</v>
      </c>
      <c r="H27" s="388">
        <f t="shared" si="10"/>
        <v>140</v>
      </c>
      <c r="I27" s="388">
        <f t="shared" si="10"/>
        <v>112</v>
      </c>
      <c r="J27" s="388">
        <f t="shared" si="10"/>
        <v>84</v>
      </c>
      <c r="K27" s="388">
        <f t="shared" si="10"/>
        <v>182</v>
      </c>
      <c r="L27" s="388">
        <f t="shared" si="10"/>
        <v>56</v>
      </c>
      <c r="M27" s="388">
        <f t="shared" si="10"/>
        <v>126</v>
      </c>
      <c r="N27" s="388">
        <f t="shared" si="10"/>
        <v>84</v>
      </c>
      <c r="O27" s="396">
        <f t="shared" si="10"/>
        <v>112</v>
      </c>
      <c r="P27" s="388">
        <f t="shared" si="10"/>
        <v>196</v>
      </c>
      <c r="Q27" s="388">
        <f t="shared" si="10"/>
        <v>168</v>
      </c>
      <c r="R27" s="388">
        <f t="shared" si="10"/>
        <v>70</v>
      </c>
    </row>
    <row r="28" spans="1:18" s="161" customFormat="1" x14ac:dyDescent="0.25">
      <c r="A28" s="394">
        <f>A27+1</f>
        <v>2</v>
      </c>
      <c r="B28" s="395" t="s">
        <v>1749</v>
      </c>
      <c r="C28" s="388">
        <f t="shared" ref="C28:C44" si="11">SUM(D28:R28)</f>
        <v>450</v>
      </c>
      <c r="D28" s="388">
        <v>30</v>
      </c>
      <c r="E28" s="388">
        <v>30</v>
      </c>
      <c r="F28" s="388">
        <v>30</v>
      </c>
      <c r="G28" s="388">
        <v>30</v>
      </c>
      <c r="H28" s="388">
        <v>30</v>
      </c>
      <c r="I28" s="388">
        <v>30</v>
      </c>
      <c r="J28" s="388">
        <v>30</v>
      </c>
      <c r="K28" s="388">
        <v>30</v>
      </c>
      <c r="L28" s="388">
        <v>30</v>
      </c>
      <c r="M28" s="388">
        <v>30</v>
      </c>
      <c r="N28" s="388">
        <v>30</v>
      </c>
      <c r="O28" s="396">
        <v>30</v>
      </c>
      <c r="P28" s="388">
        <v>30</v>
      </c>
      <c r="Q28" s="388">
        <v>30</v>
      </c>
      <c r="R28" s="388">
        <v>30</v>
      </c>
    </row>
    <row r="29" spans="1:18" s="161" customFormat="1" ht="31.5" x14ac:dyDescent="0.25">
      <c r="A29" s="394">
        <f t="shared" ref="A29:A42" si="12">A28+1</f>
        <v>3</v>
      </c>
      <c r="B29" s="395" t="s">
        <v>1374</v>
      </c>
      <c r="C29" s="388">
        <f t="shared" si="11"/>
        <v>1280</v>
      </c>
      <c r="D29" s="388">
        <f t="shared" ref="D29:R29" si="13">10*D9</f>
        <v>60</v>
      </c>
      <c r="E29" s="388">
        <f t="shared" si="13"/>
        <v>60</v>
      </c>
      <c r="F29" s="388">
        <f t="shared" si="13"/>
        <v>110</v>
      </c>
      <c r="G29" s="388">
        <f t="shared" si="13"/>
        <v>100</v>
      </c>
      <c r="H29" s="388">
        <f t="shared" si="13"/>
        <v>100</v>
      </c>
      <c r="I29" s="388">
        <f t="shared" si="13"/>
        <v>80</v>
      </c>
      <c r="J29" s="388">
        <f t="shared" si="13"/>
        <v>60</v>
      </c>
      <c r="K29" s="388">
        <f t="shared" si="13"/>
        <v>130</v>
      </c>
      <c r="L29" s="388">
        <f t="shared" si="13"/>
        <v>40</v>
      </c>
      <c r="M29" s="388">
        <f t="shared" si="13"/>
        <v>90</v>
      </c>
      <c r="N29" s="388">
        <f t="shared" si="13"/>
        <v>60</v>
      </c>
      <c r="O29" s="396">
        <f t="shared" si="13"/>
        <v>80</v>
      </c>
      <c r="P29" s="388">
        <f t="shared" si="13"/>
        <v>140</v>
      </c>
      <c r="Q29" s="388">
        <f t="shared" si="13"/>
        <v>120</v>
      </c>
      <c r="R29" s="388">
        <f t="shared" si="13"/>
        <v>50</v>
      </c>
    </row>
    <row r="30" spans="1:18" s="161" customFormat="1" x14ac:dyDescent="0.25">
      <c r="A30" s="394">
        <f t="shared" si="12"/>
        <v>4</v>
      </c>
      <c r="B30" s="395" t="s">
        <v>1750</v>
      </c>
      <c r="C30" s="388">
        <f t="shared" si="11"/>
        <v>1779.375</v>
      </c>
      <c r="D30" s="388">
        <f>5*0.065*365</f>
        <v>118.625</v>
      </c>
      <c r="E30" s="388">
        <f t="shared" ref="E30:R30" si="14">5*0.065*365</f>
        <v>118.625</v>
      </c>
      <c r="F30" s="388">
        <f t="shared" si="14"/>
        <v>118.625</v>
      </c>
      <c r="G30" s="388">
        <f t="shared" si="14"/>
        <v>118.625</v>
      </c>
      <c r="H30" s="388">
        <f t="shared" si="14"/>
        <v>118.625</v>
      </c>
      <c r="I30" s="388">
        <f t="shared" si="14"/>
        <v>118.625</v>
      </c>
      <c r="J30" s="388">
        <f t="shared" si="14"/>
        <v>118.625</v>
      </c>
      <c r="K30" s="388">
        <f t="shared" si="14"/>
        <v>118.625</v>
      </c>
      <c r="L30" s="388">
        <f t="shared" si="14"/>
        <v>118.625</v>
      </c>
      <c r="M30" s="388">
        <f t="shared" si="14"/>
        <v>118.625</v>
      </c>
      <c r="N30" s="388">
        <f t="shared" si="14"/>
        <v>118.625</v>
      </c>
      <c r="O30" s="388">
        <f t="shared" si="14"/>
        <v>118.625</v>
      </c>
      <c r="P30" s="388">
        <f t="shared" si="14"/>
        <v>118.625</v>
      </c>
      <c r="Q30" s="388">
        <f t="shared" si="14"/>
        <v>118.625</v>
      </c>
      <c r="R30" s="388">
        <f t="shared" si="14"/>
        <v>118.625</v>
      </c>
    </row>
    <row r="31" spans="1:18" s="161" customFormat="1" ht="31.5" x14ac:dyDescent="0.25">
      <c r="A31" s="394">
        <f t="shared" si="12"/>
        <v>5</v>
      </c>
      <c r="B31" s="395" t="s">
        <v>1751</v>
      </c>
      <c r="C31" s="388">
        <f t="shared" si="11"/>
        <v>1190.1200000000003</v>
      </c>
      <c r="D31" s="388">
        <v>55.44</v>
      </c>
      <c r="E31" s="388">
        <v>55.44</v>
      </c>
      <c r="F31" s="388">
        <v>101.86</v>
      </c>
      <c r="G31" s="388">
        <v>92.84</v>
      </c>
      <c r="H31" s="388">
        <v>92.84</v>
      </c>
      <c r="I31" s="388">
        <v>74.790000000000006</v>
      </c>
      <c r="J31" s="388">
        <v>55.44</v>
      </c>
      <c r="K31" s="388">
        <v>121.2</v>
      </c>
      <c r="L31" s="388">
        <v>37.4</v>
      </c>
      <c r="M31" s="220">
        <v>83.81</v>
      </c>
      <c r="N31" s="388">
        <v>55.44</v>
      </c>
      <c r="O31" s="388">
        <v>74.790000000000006</v>
      </c>
      <c r="P31" s="388">
        <v>130.22999999999999</v>
      </c>
      <c r="Q31" s="388">
        <v>112.18</v>
      </c>
      <c r="R31" s="388">
        <v>46.42</v>
      </c>
    </row>
    <row r="32" spans="1:18" s="161" customFormat="1" x14ac:dyDescent="0.25">
      <c r="A32" s="394">
        <f t="shared" si="12"/>
        <v>6</v>
      </c>
      <c r="B32" s="395" t="s">
        <v>1778</v>
      </c>
      <c r="C32" s="388">
        <f t="shared" si="11"/>
        <v>640</v>
      </c>
      <c r="D32" s="388">
        <f t="shared" ref="D32:R32" si="15">D9*5</f>
        <v>30</v>
      </c>
      <c r="E32" s="388">
        <f t="shared" si="15"/>
        <v>30</v>
      </c>
      <c r="F32" s="388">
        <f t="shared" si="15"/>
        <v>55</v>
      </c>
      <c r="G32" s="388">
        <f t="shared" si="15"/>
        <v>50</v>
      </c>
      <c r="H32" s="388">
        <f t="shared" si="15"/>
        <v>50</v>
      </c>
      <c r="I32" s="388">
        <f t="shared" si="15"/>
        <v>40</v>
      </c>
      <c r="J32" s="388">
        <f t="shared" si="15"/>
        <v>30</v>
      </c>
      <c r="K32" s="388">
        <f t="shared" si="15"/>
        <v>65</v>
      </c>
      <c r="L32" s="388">
        <f t="shared" si="15"/>
        <v>20</v>
      </c>
      <c r="M32" s="388">
        <f t="shared" si="15"/>
        <v>45</v>
      </c>
      <c r="N32" s="388">
        <f t="shared" si="15"/>
        <v>30</v>
      </c>
      <c r="O32" s="388">
        <f t="shared" si="15"/>
        <v>40</v>
      </c>
      <c r="P32" s="388">
        <f t="shared" si="15"/>
        <v>70</v>
      </c>
      <c r="Q32" s="388">
        <f t="shared" si="15"/>
        <v>60</v>
      </c>
      <c r="R32" s="388">
        <f t="shared" si="15"/>
        <v>25</v>
      </c>
    </row>
    <row r="33" spans="1:18" s="161" customFormat="1" x14ac:dyDescent="0.25">
      <c r="A33" s="394">
        <f t="shared" si="12"/>
        <v>7</v>
      </c>
      <c r="B33" s="395" t="s">
        <v>1752</v>
      </c>
      <c r="C33" s="388">
        <f t="shared" si="11"/>
        <v>9322.4630000000016</v>
      </c>
      <c r="D33" s="388">
        <v>403.75200000000001</v>
      </c>
      <c r="E33" s="388">
        <v>421.78</v>
      </c>
      <c r="F33" s="388">
        <v>818.33199999999999</v>
      </c>
      <c r="G33" s="388">
        <v>793.10400000000004</v>
      </c>
      <c r="H33" s="388">
        <v>720.99400000000003</v>
      </c>
      <c r="I33" s="388">
        <v>670.53800000000001</v>
      </c>
      <c r="J33" s="388">
        <v>403.75200000000001</v>
      </c>
      <c r="K33" s="388">
        <v>886.81399999999996</v>
      </c>
      <c r="L33" s="388">
        <v>335.26900000000001</v>
      </c>
      <c r="M33" s="388">
        <v>623.65599999999995</v>
      </c>
      <c r="N33" s="388">
        <v>403.75200000000001</v>
      </c>
      <c r="O33" s="388">
        <v>616.45600000000002</v>
      </c>
      <c r="P33" s="388">
        <v>930.07</v>
      </c>
      <c r="Q33" s="388">
        <v>897.64200000000005</v>
      </c>
      <c r="R33" s="388">
        <v>396.55200000000002</v>
      </c>
    </row>
    <row r="34" spans="1:18" s="409" customFormat="1" x14ac:dyDescent="0.25">
      <c r="A34" s="407">
        <f t="shared" si="12"/>
        <v>8</v>
      </c>
      <c r="B34" s="410" t="s">
        <v>1753</v>
      </c>
      <c r="C34" s="408">
        <f t="shared" si="11"/>
        <v>0</v>
      </c>
      <c r="D34" s="408"/>
      <c r="E34" s="408"/>
      <c r="F34" s="408"/>
      <c r="G34" s="408"/>
      <c r="H34" s="408"/>
      <c r="I34" s="408"/>
      <c r="J34" s="408"/>
      <c r="K34" s="408"/>
      <c r="L34" s="408"/>
      <c r="M34" s="408"/>
      <c r="N34" s="408"/>
      <c r="O34" s="415"/>
      <c r="P34" s="408"/>
      <c r="Q34" s="408"/>
      <c r="R34" s="408"/>
    </row>
    <row r="35" spans="1:18" s="412" customFormat="1" ht="23.25" customHeight="1" x14ac:dyDescent="0.25">
      <c r="A35" s="407">
        <f t="shared" si="12"/>
        <v>9</v>
      </c>
      <c r="B35" s="410" t="s">
        <v>1754</v>
      </c>
      <c r="C35" s="408">
        <f t="shared" si="11"/>
        <v>0</v>
      </c>
      <c r="D35" s="411"/>
      <c r="E35" s="411"/>
      <c r="F35" s="411"/>
      <c r="G35" s="411"/>
      <c r="H35" s="411"/>
      <c r="I35" s="411"/>
      <c r="J35" s="411"/>
      <c r="K35" s="411"/>
      <c r="L35" s="411"/>
      <c r="M35" s="411"/>
      <c r="N35" s="411"/>
      <c r="O35" s="411"/>
      <c r="P35" s="411"/>
      <c r="Q35" s="411"/>
      <c r="R35" s="411"/>
    </row>
    <row r="36" spans="1:18" s="412" customFormat="1" ht="32.65" customHeight="1" x14ac:dyDescent="0.25">
      <c r="A36" s="407">
        <f t="shared" si="12"/>
        <v>10</v>
      </c>
      <c r="B36" s="410" t="s">
        <v>1755</v>
      </c>
      <c r="C36" s="408">
        <f t="shared" si="11"/>
        <v>0</v>
      </c>
      <c r="D36" s="411"/>
      <c r="E36" s="411"/>
      <c r="F36" s="411"/>
      <c r="G36" s="411"/>
      <c r="H36" s="411"/>
      <c r="I36" s="411"/>
      <c r="J36" s="411"/>
      <c r="K36" s="411"/>
      <c r="L36" s="411"/>
      <c r="M36" s="411"/>
      <c r="N36" s="411"/>
      <c r="O36" s="411"/>
      <c r="P36" s="411"/>
      <c r="Q36" s="411"/>
      <c r="R36" s="411"/>
    </row>
    <row r="37" spans="1:18" s="412" customFormat="1" x14ac:dyDescent="0.25">
      <c r="A37" s="407">
        <f t="shared" si="12"/>
        <v>11</v>
      </c>
      <c r="B37" s="410" t="s">
        <v>1382</v>
      </c>
      <c r="C37" s="408">
        <f>SUM(D37:R37)</f>
        <v>2198.6799999999998</v>
      </c>
      <c r="D37" s="413">
        <v>78.48</v>
      </c>
      <c r="E37" s="413">
        <v>82.5</v>
      </c>
      <c r="F37" s="413">
        <v>205.16</v>
      </c>
      <c r="G37" s="413">
        <v>257.89999999999998</v>
      </c>
      <c r="H37" s="413">
        <v>174.66</v>
      </c>
      <c r="I37" s="413">
        <v>156.30000000000001</v>
      </c>
      <c r="J37" s="413">
        <v>100.88</v>
      </c>
      <c r="K37" s="413">
        <v>181.46</v>
      </c>
      <c r="L37" s="413">
        <v>56.4</v>
      </c>
      <c r="M37" s="413">
        <v>111.9</v>
      </c>
      <c r="N37" s="413">
        <v>123.54</v>
      </c>
      <c r="O37" s="413">
        <v>200.56</v>
      </c>
      <c r="P37" s="413">
        <v>178.64</v>
      </c>
      <c r="Q37" s="413">
        <v>185.14</v>
      </c>
      <c r="R37" s="413">
        <v>105.16</v>
      </c>
    </row>
    <row r="38" spans="1:18" s="412" customFormat="1" x14ac:dyDescent="0.25">
      <c r="A38" s="407">
        <f t="shared" si="12"/>
        <v>12</v>
      </c>
      <c r="B38" s="408" t="s">
        <v>1314</v>
      </c>
      <c r="C38" s="408">
        <f t="shared" si="11"/>
        <v>75</v>
      </c>
      <c r="D38" s="408">
        <v>5</v>
      </c>
      <c r="E38" s="408">
        <v>5</v>
      </c>
      <c r="F38" s="408">
        <v>5</v>
      </c>
      <c r="G38" s="408">
        <v>5</v>
      </c>
      <c r="H38" s="408">
        <v>5</v>
      </c>
      <c r="I38" s="408">
        <v>5</v>
      </c>
      <c r="J38" s="408">
        <v>5</v>
      </c>
      <c r="K38" s="408">
        <v>5</v>
      </c>
      <c r="L38" s="408">
        <v>5</v>
      </c>
      <c r="M38" s="408">
        <v>5</v>
      </c>
      <c r="N38" s="408">
        <v>5</v>
      </c>
      <c r="O38" s="408">
        <v>5</v>
      </c>
      <c r="P38" s="408">
        <v>5</v>
      </c>
      <c r="Q38" s="408">
        <v>5</v>
      </c>
      <c r="R38" s="408">
        <v>5</v>
      </c>
    </row>
    <row r="39" spans="1:18" s="412" customFormat="1" x14ac:dyDescent="0.25">
      <c r="A39" s="407">
        <f t="shared" si="12"/>
        <v>13</v>
      </c>
      <c r="B39" s="408" t="s">
        <v>1756</v>
      </c>
      <c r="C39" s="408">
        <f t="shared" si="11"/>
        <v>256</v>
      </c>
      <c r="D39" s="408">
        <f t="shared" ref="D39:R39" si="16">D9*2</f>
        <v>12</v>
      </c>
      <c r="E39" s="408">
        <f t="shared" si="16"/>
        <v>12</v>
      </c>
      <c r="F39" s="408">
        <f t="shared" si="16"/>
        <v>22</v>
      </c>
      <c r="G39" s="408">
        <f t="shared" si="16"/>
        <v>20</v>
      </c>
      <c r="H39" s="408">
        <f t="shared" si="16"/>
        <v>20</v>
      </c>
      <c r="I39" s="408">
        <f t="shared" si="16"/>
        <v>16</v>
      </c>
      <c r="J39" s="408">
        <f t="shared" si="16"/>
        <v>12</v>
      </c>
      <c r="K39" s="408">
        <f t="shared" si="16"/>
        <v>26</v>
      </c>
      <c r="L39" s="408">
        <f t="shared" si="16"/>
        <v>8</v>
      </c>
      <c r="M39" s="408">
        <f t="shared" si="16"/>
        <v>18</v>
      </c>
      <c r="N39" s="408">
        <f t="shared" si="16"/>
        <v>12</v>
      </c>
      <c r="O39" s="408">
        <f t="shared" si="16"/>
        <v>16</v>
      </c>
      <c r="P39" s="408">
        <f t="shared" si="16"/>
        <v>28</v>
      </c>
      <c r="Q39" s="408">
        <f t="shared" si="16"/>
        <v>24</v>
      </c>
      <c r="R39" s="408">
        <f t="shared" si="16"/>
        <v>10</v>
      </c>
    </row>
    <row r="40" spans="1:18" s="412" customFormat="1" x14ac:dyDescent="0.25">
      <c r="A40" s="407">
        <f t="shared" si="12"/>
        <v>14</v>
      </c>
      <c r="B40" s="408" t="s">
        <v>1557</v>
      </c>
      <c r="C40" s="408">
        <f t="shared" si="11"/>
        <v>421.19999999999982</v>
      </c>
      <c r="D40" s="408">
        <f>1*2.34*12</f>
        <v>28.08</v>
      </c>
      <c r="E40" s="408">
        <f t="shared" ref="E40:R40" si="17">1*2.34*12</f>
        <v>28.08</v>
      </c>
      <c r="F40" s="408">
        <f t="shared" si="17"/>
        <v>28.08</v>
      </c>
      <c r="G40" s="408">
        <f t="shared" si="17"/>
        <v>28.08</v>
      </c>
      <c r="H40" s="408">
        <f t="shared" si="17"/>
        <v>28.08</v>
      </c>
      <c r="I40" s="408">
        <f t="shared" si="17"/>
        <v>28.08</v>
      </c>
      <c r="J40" s="408">
        <f t="shared" si="17"/>
        <v>28.08</v>
      </c>
      <c r="K40" s="408">
        <f t="shared" si="17"/>
        <v>28.08</v>
      </c>
      <c r="L40" s="408">
        <f t="shared" si="17"/>
        <v>28.08</v>
      </c>
      <c r="M40" s="408">
        <f t="shared" si="17"/>
        <v>28.08</v>
      </c>
      <c r="N40" s="408">
        <f t="shared" si="17"/>
        <v>28.08</v>
      </c>
      <c r="O40" s="408">
        <f t="shared" si="17"/>
        <v>28.08</v>
      </c>
      <c r="P40" s="408">
        <f t="shared" si="17"/>
        <v>28.08</v>
      </c>
      <c r="Q40" s="408">
        <f t="shared" si="17"/>
        <v>28.08</v>
      </c>
      <c r="R40" s="408">
        <f t="shared" si="17"/>
        <v>28.08</v>
      </c>
    </row>
    <row r="41" spans="1:18" s="412" customFormat="1" ht="54.4" customHeight="1" x14ac:dyDescent="0.25">
      <c r="A41" s="407">
        <f t="shared" si="12"/>
        <v>15</v>
      </c>
      <c r="B41" s="410" t="s">
        <v>1761</v>
      </c>
      <c r="C41" s="408">
        <f t="shared" si="11"/>
        <v>0</v>
      </c>
      <c r="D41" s="414"/>
      <c r="E41" s="414"/>
      <c r="F41" s="414"/>
      <c r="G41" s="414"/>
      <c r="H41" s="414"/>
      <c r="I41" s="414"/>
      <c r="J41" s="414"/>
      <c r="K41" s="414"/>
      <c r="L41" s="414"/>
      <c r="M41" s="414"/>
      <c r="N41" s="414"/>
      <c r="O41" s="414"/>
      <c r="P41" s="414"/>
      <c r="Q41" s="414"/>
      <c r="R41" s="414"/>
    </row>
    <row r="42" spans="1:18" s="161" customFormat="1" x14ac:dyDescent="0.25">
      <c r="A42" s="394">
        <f t="shared" si="12"/>
        <v>16</v>
      </c>
      <c r="B42" s="397" t="s">
        <v>1757</v>
      </c>
      <c r="C42" s="220">
        <f t="shared" si="11"/>
        <v>0</v>
      </c>
      <c r="D42" s="398"/>
      <c r="E42" s="398"/>
      <c r="F42" s="398"/>
      <c r="G42" s="398"/>
      <c r="H42" s="398"/>
      <c r="I42" s="398"/>
      <c r="J42" s="398"/>
      <c r="K42" s="398"/>
      <c r="L42" s="398"/>
      <c r="M42" s="398"/>
      <c r="N42" s="398"/>
      <c r="O42" s="398"/>
      <c r="P42" s="398"/>
      <c r="Q42" s="398"/>
      <c r="R42" s="398"/>
    </row>
    <row r="43" spans="1:18" s="161" customFormat="1" x14ac:dyDescent="0.25">
      <c r="A43" s="382" t="s">
        <v>77</v>
      </c>
      <c r="B43" s="390" t="s">
        <v>1372</v>
      </c>
      <c r="C43" s="390">
        <f t="shared" si="11"/>
        <v>2255</v>
      </c>
      <c r="D43" s="390">
        <f>(650+(100*D9))*10%</f>
        <v>125</v>
      </c>
      <c r="E43" s="390">
        <f t="shared" ref="E43:R43" si="18">(650+(100*E9))*10%</f>
        <v>125</v>
      </c>
      <c r="F43" s="390">
        <f t="shared" si="18"/>
        <v>175</v>
      </c>
      <c r="G43" s="390">
        <f t="shared" si="18"/>
        <v>165</v>
      </c>
      <c r="H43" s="390">
        <f t="shared" si="18"/>
        <v>165</v>
      </c>
      <c r="I43" s="390">
        <f t="shared" si="18"/>
        <v>145</v>
      </c>
      <c r="J43" s="390">
        <f t="shared" si="18"/>
        <v>125</v>
      </c>
      <c r="K43" s="390">
        <f t="shared" si="18"/>
        <v>195</v>
      </c>
      <c r="L43" s="390">
        <f t="shared" si="18"/>
        <v>105</v>
      </c>
      <c r="M43" s="390">
        <f t="shared" si="18"/>
        <v>155</v>
      </c>
      <c r="N43" s="390">
        <f t="shared" si="18"/>
        <v>125</v>
      </c>
      <c r="O43" s="399">
        <f t="shared" si="18"/>
        <v>145</v>
      </c>
      <c r="P43" s="390">
        <f t="shared" si="18"/>
        <v>205</v>
      </c>
      <c r="Q43" s="390">
        <f t="shared" si="18"/>
        <v>185</v>
      </c>
      <c r="R43" s="390">
        <f t="shared" si="18"/>
        <v>115</v>
      </c>
    </row>
    <row r="44" spans="1:18" s="161" customFormat="1" x14ac:dyDescent="0.25">
      <c r="A44" s="380" t="s">
        <v>16</v>
      </c>
      <c r="B44" s="400" t="s">
        <v>1269</v>
      </c>
      <c r="C44" s="401">
        <f t="shared" si="11"/>
        <v>2624.7227188919996</v>
      </c>
      <c r="D44" s="401">
        <f t="shared" ref="D44:R44" si="19">D11*0.02</f>
        <v>145.57779528000003</v>
      </c>
      <c r="E44" s="401">
        <f t="shared" si="19"/>
        <v>145.07163232400001</v>
      </c>
      <c r="F44" s="401">
        <f t="shared" si="19"/>
        <v>200.39449889199997</v>
      </c>
      <c r="G44" s="401">
        <f t="shared" si="19"/>
        <v>203.89018163999995</v>
      </c>
      <c r="H44" s="401">
        <f t="shared" si="19"/>
        <v>185.920028812</v>
      </c>
      <c r="I44" s="401">
        <f t="shared" si="19"/>
        <v>170.38426557599999</v>
      </c>
      <c r="J44" s="401">
        <f t="shared" si="19"/>
        <v>156.99516500799996</v>
      </c>
      <c r="K44" s="401">
        <f t="shared" si="19"/>
        <v>219.17121094800001</v>
      </c>
      <c r="L44" s="401">
        <f t="shared" si="19"/>
        <v>129.14653334799999</v>
      </c>
      <c r="M44" s="401">
        <f t="shared" si="19"/>
        <v>175.03720243199999</v>
      </c>
      <c r="N44" s="401">
        <f t="shared" si="19"/>
        <v>150.1606764</v>
      </c>
      <c r="O44" s="399">
        <f t="shared" si="19"/>
        <v>177.47822951999999</v>
      </c>
      <c r="P44" s="401">
        <f t="shared" si="19"/>
        <v>216.345859112</v>
      </c>
      <c r="Q44" s="401">
        <f t="shared" si="19"/>
        <v>207.29140839999997</v>
      </c>
      <c r="R44" s="401">
        <f t="shared" si="19"/>
        <v>141.8580312</v>
      </c>
    </row>
    <row r="45" spans="1:18" ht="21.75" customHeight="1" x14ac:dyDescent="0.25">
      <c r="B45" s="190" t="s">
        <v>1143</v>
      </c>
      <c r="C45" s="203"/>
      <c r="D45" s="203"/>
      <c r="E45" s="203"/>
      <c r="F45" s="203"/>
      <c r="G45" s="203"/>
      <c r="H45" s="203"/>
      <c r="I45" s="203"/>
      <c r="J45" s="203"/>
      <c r="K45" s="203"/>
      <c r="L45" s="203"/>
      <c r="M45" s="203"/>
      <c r="N45" s="203"/>
      <c r="O45" s="203"/>
      <c r="P45" s="203"/>
      <c r="Q45" s="203"/>
      <c r="R45" s="203"/>
    </row>
    <row r="46" spans="1:18" x14ac:dyDescent="0.25">
      <c r="B46" s="190" t="s">
        <v>1144</v>
      </c>
      <c r="C46" s="203"/>
      <c r="D46" s="203"/>
      <c r="E46" s="203"/>
      <c r="F46" s="203"/>
      <c r="G46" s="203"/>
      <c r="H46" s="203"/>
      <c r="I46" s="402"/>
      <c r="J46" s="402"/>
      <c r="K46" s="402"/>
      <c r="L46" s="203"/>
      <c r="M46" s="203"/>
      <c r="N46" s="203"/>
      <c r="O46" s="203"/>
      <c r="P46" s="203"/>
      <c r="Q46" s="402"/>
      <c r="R46" s="203"/>
    </row>
    <row r="47" spans="1:18" x14ac:dyDescent="0.25">
      <c r="B47" s="190" t="s">
        <v>1758</v>
      </c>
      <c r="C47" s="203"/>
      <c r="D47" s="203"/>
      <c r="E47" s="203"/>
      <c r="F47" s="203"/>
      <c r="G47" s="203"/>
      <c r="H47" s="203"/>
      <c r="I47" s="203"/>
      <c r="J47" s="203"/>
      <c r="K47" s="203"/>
      <c r="L47" s="203"/>
      <c r="M47" s="203"/>
      <c r="N47" s="203"/>
      <c r="O47" s="203"/>
      <c r="P47" s="203"/>
      <c r="Q47" s="203"/>
      <c r="R47" s="203"/>
    </row>
    <row r="48" spans="1:18" x14ac:dyDescent="0.25">
      <c r="B48" s="190" t="s">
        <v>1271</v>
      </c>
      <c r="C48" s="203"/>
      <c r="D48" s="203"/>
      <c r="E48" s="203"/>
      <c r="F48" s="203"/>
      <c r="G48" s="203"/>
      <c r="H48" s="203"/>
      <c r="I48" s="203"/>
      <c r="J48" s="203"/>
      <c r="K48" s="203"/>
      <c r="L48" s="203"/>
      <c r="M48" s="203"/>
      <c r="N48" s="203"/>
      <c r="O48" s="203"/>
      <c r="P48" s="203"/>
      <c r="Q48" s="203"/>
      <c r="R48" s="203"/>
    </row>
    <row r="49" spans="1:18" ht="18" customHeight="1" x14ac:dyDescent="0.25">
      <c r="B49" s="204" t="s">
        <v>1759</v>
      </c>
      <c r="C49" s="203"/>
      <c r="D49" s="203"/>
      <c r="E49" s="203"/>
      <c r="F49" s="203"/>
      <c r="G49" s="203"/>
      <c r="H49" s="203"/>
      <c r="I49" s="203"/>
      <c r="J49" s="203"/>
      <c r="K49" s="203"/>
      <c r="L49" s="203"/>
      <c r="M49" s="203"/>
      <c r="N49" s="203"/>
      <c r="O49" s="203"/>
      <c r="P49" s="203"/>
      <c r="Q49" s="203"/>
      <c r="R49" s="203"/>
    </row>
    <row r="50" spans="1:18" ht="15.75" customHeight="1" x14ac:dyDescent="0.25">
      <c r="B50" s="204" t="s">
        <v>1760</v>
      </c>
      <c r="C50" s="203"/>
      <c r="D50" s="203"/>
      <c r="E50" s="402"/>
      <c r="F50" s="203"/>
      <c r="G50" s="203"/>
      <c r="H50" s="203"/>
      <c r="I50" s="203"/>
      <c r="J50" s="203"/>
      <c r="K50" s="203"/>
      <c r="L50" s="203"/>
      <c r="M50" s="203"/>
      <c r="N50" s="203"/>
      <c r="O50" s="203"/>
      <c r="P50" s="203"/>
      <c r="Q50" s="203"/>
      <c r="R50" s="203"/>
    </row>
    <row r="51" spans="1:18" x14ac:dyDescent="0.25">
      <c r="B51" s="205"/>
      <c r="C51" s="203"/>
      <c r="D51" s="203"/>
      <c r="E51" s="203"/>
      <c r="F51" s="203"/>
      <c r="G51" s="203"/>
      <c r="H51" s="203"/>
      <c r="I51" s="203"/>
      <c r="J51" s="203"/>
      <c r="K51" s="203"/>
      <c r="L51" s="203"/>
      <c r="M51" s="203"/>
      <c r="N51" s="203"/>
      <c r="O51" s="203"/>
      <c r="P51" s="203"/>
      <c r="Q51" s="203"/>
      <c r="R51" s="203"/>
    </row>
    <row r="52" spans="1:18" x14ac:dyDescent="0.25">
      <c r="C52" s="203"/>
      <c r="E52" s="203"/>
    </row>
    <row r="53" spans="1:18" x14ac:dyDescent="0.25">
      <c r="C53" s="203"/>
      <c r="D53" s="203"/>
      <c r="F53" s="203"/>
      <c r="G53" s="203"/>
      <c r="H53" s="203"/>
      <c r="I53" s="203"/>
      <c r="J53" s="203"/>
      <c r="K53" s="203"/>
      <c r="L53" s="203"/>
      <c r="M53" s="203"/>
      <c r="N53" s="203"/>
      <c r="O53" s="203"/>
      <c r="P53" s="203"/>
      <c r="Q53" s="203"/>
      <c r="R53" s="203"/>
    </row>
    <row r="54" spans="1:18" x14ac:dyDescent="0.25">
      <c r="C54" s="203"/>
      <c r="D54" s="203"/>
      <c r="E54" s="203"/>
      <c r="F54" s="203"/>
      <c r="G54" s="203"/>
      <c r="H54" s="203"/>
      <c r="I54" s="203"/>
      <c r="J54" s="203"/>
      <c r="K54" s="203"/>
      <c r="L54" s="203"/>
      <c r="M54" s="203"/>
      <c r="N54" s="203"/>
      <c r="O54" s="203"/>
      <c r="P54" s="203"/>
      <c r="Q54" s="203"/>
      <c r="R54" s="203"/>
    </row>
    <row r="55" spans="1:18" x14ac:dyDescent="0.25">
      <c r="C55" s="203"/>
      <c r="D55" s="203"/>
      <c r="E55" s="203"/>
      <c r="F55" s="203"/>
      <c r="G55" s="203"/>
      <c r="H55" s="203"/>
      <c r="I55" s="203"/>
      <c r="J55" s="203"/>
      <c r="K55" s="203"/>
      <c r="L55" s="203"/>
      <c r="M55" s="203"/>
      <c r="N55" s="203"/>
      <c r="O55" s="203"/>
      <c r="P55" s="203"/>
      <c r="Q55" s="203"/>
      <c r="R55" s="203"/>
    </row>
    <row r="56" spans="1:18" x14ac:dyDescent="0.25">
      <c r="C56" s="203"/>
      <c r="D56" s="203"/>
      <c r="E56" s="203"/>
      <c r="F56" s="203"/>
      <c r="G56" s="203"/>
      <c r="H56" s="203"/>
      <c r="I56" s="203"/>
      <c r="J56" s="203"/>
      <c r="K56" s="203"/>
      <c r="L56" s="203"/>
      <c r="M56" s="203"/>
      <c r="N56" s="203"/>
      <c r="O56" s="203"/>
      <c r="P56" s="203"/>
      <c r="Q56" s="203"/>
      <c r="R56" s="203"/>
    </row>
    <row r="57" spans="1:18" x14ac:dyDescent="0.25">
      <c r="C57" s="203"/>
      <c r="E57" s="203"/>
    </row>
    <row r="58" spans="1:18" x14ac:dyDescent="0.25">
      <c r="C58" s="203"/>
      <c r="E58" s="203"/>
    </row>
    <row r="59" spans="1:18" x14ac:dyDescent="0.25">
      <c r="C59" s="203"/>
    </row>
    <row r="60" spans="1:18" x14ac:dyDescent="0.25">
      <c r="C60" s="203"/>
    </row>
    <row r="61" spans="1:18" x14ac:dyDescent="0.25">
      <c r="C61" s="203"/>
    </row>
    <row r="62" spans="1:18" x14ac:dyDescent="0.25">
      <c r="C62" s="203"/>
    </row>
    <row r="63" spans="1:18" x14ac:dyDescent="0.25">
      <c r="A63" s="190"/>
      <c r="C63" s="203"/>
    </row>
    <row r="64" spans="1:18" x14ac:dyDescent="0.25">
      <c r="A64" s="190"/>
      <c r="C64" s="203"/>
    </row>
    <row r="65" spans="1:3" x14ac:dyDescent="0.25">
      <c r="A65" s="190"/>
      <c r="C65" s="203"/>
    </row>
    <row r="66" spans="1:3" x14ac:dyDescent="0.25">
      <c r="A66" s="190"/>
      <c r="C66" s="203"/>
    </row>
    <row r="67" spans="1:3" x14ac:dyDescent="0.25">
      <c r="A67" s="190"/>
      <c r="C67" s="203"/>
    </row>
    <row r="68" spans="1:3" x14ac:dyDescent="0.25">
      <c r="A68" s="190"/>
      <c r="C68" s="203"/>
    </row>
    <row r="69" spans="1:3" x14ac:dyDescent="0.25">
      <c r="A69" s="190"/>
      <c r="C69" s="203"/>
    </row>
    <row r="70" spans="1:3" x14ac:dyDescent="0.25">
      <c r="A70" s="190"/>
      <c r="C70" s="203"/>
    </row>
    <row r="71" spans="1:3" x14ac:dyDescent="0.25">
      <c r="A71" s="190"/>
      <c r="C71" s="203"/>
    </row>
    <row r="72" spans="1:3" x14ac:dyDescent="0.25">
      <c r="A72" s="190"/>
      <c r="C72" s="203"/>
    </row>
  </sheetData>
  <mergeCells count="24">
    <mergeCell ref="P1:R1"/>
    <mergeCell ref="A2:R2"/>
    <mergeCell ref="L7:L8"/>
    <mergeCell ref="M7:M8"/>
    <mergeCell ref="N7:N8"/>
    <mergeCell ref="A3:R3"/>
    <mergeCell ref="A4:R4"/>
    <mergeCell ref="A5:R5"/>
    <mergeCell ref="P7:P8"/>
    <mergeCell ref="Q7:Q8"/>
    <mergeCell ref="P6:R6"/>
    <mergeCell ref="A7:A8"/>
    <mergeCell ref="B7:B8"/>
    <mergeCell ref="C7:C8"/>
    <mergeCell ref="D7:D8"/>
    <mergeCell ref="O7:O8"/>
    <mergeCell ref="J7:J8"/>
    <mergeCell ref="K7:K8"/>
    <mergeCell ref="E7:E8"/>
    <mergeCell ref="F7:F8"/>
    <mergeCell ref="G7:G8"/>
    <mergeCell ref="H7:H8"/>
    <mergeCell ref="I7:I8"/>
    <mergeCell ref="R7:R8"/>
  </mergeCells>
  <printOptions horizontalCentered="1"/>
  <pageMargins left="0.11811023622047245" right="0.11811023622047245" top="0.15748031496062992" bottom="0.15748031496062992" header="0.31496062992125984" footer="0.31496062992125984"/>
  <pageSetup paperSize="9" scale="60" orientation="landscape"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0000"/>
  </sheetPr>
  <dimension ref="A1:F21"/>
  <sheetViews>
    <sheetView workbookViewId="0">
      <selection activeCell="L6" sqref="L6:L7"/>
    </sheetView>
  </sheetViews>
  <sheetFormatPr defaultRowHeight="15" x14ac:dyDescent="0.25"/>
  <cols>
    <col min="1" max="1" width="6.7109375" customWidth="1"/>
    <col min="2" max="2" width="27.42578125" customWidth="1"/>
    <col min="3" max="3" width="12.7109375" customWidth="1"/>
    <col min="4" max="6" width="11.7109375" customWidth="1"/>
  </cols>
  <sheetData>
    <row r="1" spans="1:6" ht="15.75" x14ac:dyDescent="0.25">
      <c r="F1" s="25" t="s">
        <v>682</v>
      </c>
    </row>
    <row r="2" spans="1:6" ht="33.75" customHeight="1" x14ac:dyDescent="0.25">
      <c r="A2" s="594" t="s">
        <v>720</v>
      </c>
      <c r="B2" s="594"/>
      <c r="C2" s="594"/>
      <c r="D2" s="594"/>
      <c r="E2" s="594"/>
      <c r="F2" s="594"/>
    </row>
    <row r="3" spans="1:6" ht="15.75" x14ac:dyDescent="0.25">
      <c r="A3" s="551" t="s">
        <v>512</v>
      </c>
      <c r="B3" s="551"/>
      <c r="C3" s="551"/>
      <c r="D3" s="551"/>
      <c r="E3" s="551"/>
      <c r="F3" s="551"/>
    </row>
    <row r="4" spans="1:6" ht="15.75" x14ac:dyDescent="0.25">
      <c r="F4" s="26" t="s">
        <v>56</v>
      </c>
    </row>
    <row r="5" spans="1:6" ht="132" customHeight="1" x14ac:dyDescent="0.25">
      <c r="A5" s="29" t="s">
        <v>3</v>
      </c>
      <c r="B5" s="29" t="s">
        <v>522</v>
      </c>
      <c r="C5" s="29" t="s">
        <v>130</v>
      </c>
      <c r="D5" s="29" t="s">
        <v>718</v>
      </c>
      <c r="E5" s="29" t="s">
        <v>721</v>
      </c>
      <c r="F5" s="29" t="s">
        <v>719</v>
      </c>
    </row>
    <row r="6" spans="1:6" ht="15.75" x14ac:dyDescent="0.25">
      <c r="A6" s="28" t="s">
        <v>15</v>
      </c>
      <c r="B6" s="28" t="s">
        <v>16</v>
      </c>
      <c r="C6" s="28" t="s">
        <v>722</v>
      </c>
      <c r="D6" s="28">
        <v>2</v>
      </c>
      <c r="E6" s="28">
        <v>3</v>
      </c>
      <c r="F6" s="28">
        <v>4</v>
      </c>
    </row>
    <row r="7" spans="1:6" ht="15.75" x14ac:dyDescent="0.25">
      <c r="A7" s="29"/>
      <c r="B7" s="30" t="s">
        <v>133</v>
      </c>
      <c r="C7" s="29"/>
      <c r="D7" s="29"/>
      <c r="E7" s="29"/>
      <c r="F7" s="29"/>
    </row>
    <row r="8" spans="1:6" ht="15.75" x14ac:dyDescent="0.25">
      <c r="A8" s="28">
        <v>1</v>
      </c>
      <c r="B8" s="31" t="s">
        <v>169</v>
      </c>
      <c r="C8" s="28"/>
      <c r="D8" s="28"/>
      <c r="E8" s="28"/>
      <c r="F8" s="28"/>
    </row>
    <row r="9" spans="1:6" ht="15.75" x14ac:dyDescent="0.25">
      <c r="A9" s="28">
        <v>2</v>
      </c>
      <c r="B9" s="31" t="s">
        <v>170</v>
      </c>
      <c r="C9" s="28"/>
      <c r="D9" s="28"/>
      <c r="E9" s="28"/>
      <c r="F9" s="28"/>
    </row>
    <row r="10" spans="1:6" ht="15.75" x14ac:dyDescent="0.25">
      <c r="A10" s="28">
        <v>3</v>
      </c>
      <c r="B10" s="31" t="s">
        <v>609</v>
      </c>
      <c r="C10" s="28"/>
      <c r="D10" s="28"/>
      <c r="E10" s="28"/>
      <c r="F10" s="28"/>
    </row>
    <row r="11" spans="1:6" ht="15.75" x14ac:dyDescent="0.25">
      <c r="A11" s="28">
        <v>4</v>
      </c>
      <c r="B11" s="31" t="s">
        <v>172</v>
      </c>
      <c r="C11" s="28"/>
      <c r="D11" s="28"/>
      <c r="E11" s="28"/>
      <c r="F11" s="28"/>
    </row>
    <row r="12" spans="1:6" ht="15.75" x14ac:dyDescent="0.25">
      <c r="A12" s="28">
        <v>5</v>
      </c>
      <c r="B12" s="31" t="s">
        <v>576</v>
      </c>
      <c r="C12" s="28"/>
      <c r="D12" s="28"/>
      <c r="E12" s="28"/>
      <c r="F12" s="28"/>
    </row>
    <row r="13" spans="1:6" ht="15.75" x14ac:dyDescent="0.25">
      <c r="A13" s="28">
        <v>6</v>
      </c>
      <c r="B13" s="31" t="s">
        <v>174</v>
      </c>
      <c r="C13" s="28"/>
      <c r="D13" s="28"/>
      <c r="E13" s="28"/>
      <c r="F13" s="28"/>
    </row>
    <row r="14" spans="1:6" ht="15.75" x14ac:dyDescent="0.25">
      <c r="A14" s="28">
        <v>7</v>
      </c>
      <c r="B14" s="31" t="s">
        <v>175</v>
      </c>
      <c r="C14" s="28"/>
      <c r="D14" s="28"/>
      <c r="E14" s="28"/>
      <c r="F14" s="28"/>
    </row>
    <row r="15" spans="1:6" ht="15.75" x14ac:dyDescent="0.25">
      <c r="A15" s="28">
        <v>8</v>
      </c>
      <c r="B15" s="31" t="s">
        <v>611</v>
      </c>
      <c r="C15" s="28"/>
      <c r="D15" s="28"/>
      <c r="E15" s="28"/>
      <c r="F15" s="28"/>
    </row>
    <row r="16" spans="1:6" ht="15.75" x14ac:dyDescent="0.25">
      <c r="A16" s="28">
        <v>9</v>
      </c>
      <c r="B16" s="31" t="s">
        <v>51</v>
      </c>
      <c r="C16" s="28"/>
      <c r="D16" s="28"/>
      <c r="E16" s="28"/>
      <c r="F16" s="28"/>
    </row>
    <row r="17" spans="1:6" ht="15.75" x14ac:dyDescent="0.25">
      <c r="A17" s="28">
        <v>10</v>
      </c>
      <c r="B17" s="31"/>
      <c r="C17" s="28"/>
      <c r="D17" s="28"/>
      <c r="E17" s="28"/>
      <c r="F17" s="28"/>
    </row>
    <row r="18" spans="1:6" ht="15.75" x14ac:dyDescent="0.25">
      <c r="A18" s="28">
        <v>11</v>
      </c>
      <c r="B18" s="31"/>
      <c r="C18" s="28"/>
      <c r="D18" s="28"/>
      <c r="E18" s="28"/>
      <c r="F18" s="28"/>
    </row>
    <row r="19" spans="1:6" ht="15.75" x14ac:dyDescent="0.25">
      <c r="A19" s="28">
        <v>22</v>
      </c>
      <c r="B19" s="31"/>
      <c r="C19" s="28"/>
      <c r="D19" s="28"/>
      <c r="E19" s="28"/>
      <c r="F19" s="28"/>
    </row>
    <row r="20" spans="1:6" ht="15.75" x14ac:dyDescent="0.25">
      <c r="A20" s="28">
        <v>23</v>
      </c>
      <c r="B20" s="31"/>
      <c r="C20" s="28"/>
      <c r="D20" s="28"/>
      <c r="E20" s="28"/>
      <c r="F20" s="28"/>
    </row>
    <row r="21" spans="1:6" ht="39" customHeight="1" x14ac:dyDescent="0.25">
      <c r="A21" s="593" t="s">
        <v>723</v>
      </c>
      <c r="B21" s="593"/>
      <c r="C21" s="593"/>
      <c r="D21" s="593"/>
      <c r="E21" s="593"/>
      <c r="F21" s="593"/>
    </row>
  </sheetData>
  <mergeCells count="3">
    <mergeCell ref="A2:F2"/>
    <mergeCell ref="A3:F3"/>
    <mergeCell ref="A21:F21"/>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0000"/>
  </sheetPr>
  <dimension ref="A1:L19"/>
  <sheetViews>
    <sheetView workbookViewId="0">
      <selection activeCell="L6" sqref="L6:L7"/>
    </sheetView>
  </sheetViews>
  <sheetFormatPr defaultRowHeight="15" x14ac:dyDescent="0.25"/>
  <cols>
    <col min="1" max="1" width="6.7109375" customWidth="1"/>
    <col min="2" max="2" width="23.28515625" customWidth="1"/>
  </cols>
  <sheetData>
    <row r="1" spans="1:12" ht="15.75" x14ac:dyDescent="0.25">
      <c r="L1" s="25" t="s">
        <v>683</v>
      </c>
    </row>
    <row r="2" spans="1:12" ht="36.75" customHeight="1" x14ac:dyDescent="0.25">
      <c r="A2" s="594" t="s">
        <v>724</v>
      </c>
      <c r="B2" s="594"/>
      <c r="C2" s="594"/>
      <c r="D2" s="594"/>
      <c r="E2" s="594"/>
      <c r="F2" s="594"/>
      <c r="G2" s="594"/>
      <c r="H2" s="594"/>
      <c r="I2" s="594"/>
      <c r="J2" s="594"/>
      <c r="K2" s="594"/>
      <c r="L2" s="594"/>
    </row>
    <row r="3" spans="1:12" x14ac:dyDescent="0.25">
      <c r="A3" s="594" t="s">
        <v>512</v>
      </c>
      <c r="B3" s="649"/>
      <c r="C3" s="649"/>
      <c r="D3" s="649"/>
      <c r="E3" s="649"/>
      <c r="F3" s="649"/>
      <c r="G3" s="649"/>
      <c r="H3" s="649"/>
      <c r="I3" s="649"/>
      <c r="J3" s="649"/>
      <c r="K3" s="649"/>
      <c r="L3" s="649"/>
    </row>
    <row r="4" spans="1:12" ht="15.75" x14ac:dyDescent="0.25">
      <c r="L4" s="26" t="s">
        <v>56</v>
      </c>
    </row>
    <row r="5" spans="1:12" ht="30" customHeight="1" x14ac:dyDescent="0.25">
      <c r="A5" s="595" t="s">
        <v>3</v>
      </c>
      <c r="B5" s="595" t="s">
        <v>522</v>
      </c>
      <c r="C5" s="595" t="s">
        <v>130</v>
      </c>
      <c r="D5" s="595"/>
      <c r="E5" s="595"/>
      <c r="F5" s="595" t="s">
        <v>725</v>
      </c>
      <c r="G5" s="595"/>
      <c r="H5" s="595"/>
      <c r="I5" s="595" t="s">
        <v>725</v>
      </c>
      <c r="J5" s="595"/>
      <c r="K5" s="595"/>
      <c r="L5" s="595" t="s">
        <v>654</v>
      </c>
    </row>
    <row r="6" spans="1:12" ht="59.25" customHeight="1" x14ac:dyDescent="0.25">
      <c r="A6" s="595"/>
      <c r="B6" s="595"/>
      <c r="C6" s="29" t="s">
        <v>130</v>
      </c>
      <c r="D6" s="29" t="s">
        <v>135</v>
      </c>
      <c r="E6" s="29" t="s">
        <v>697</v>
      </c>
      <c r="F6" s="29" t="s">
        <v>130</v>
      </c>
      <c r="G6" s="29" t="s">
        <v>135</v>
      </c>
      <c r="H6" s="29" t="s">
        <v>697</v>
      </c>
      <c r="I6" s="29" t="s">
        <v>130</v>
      </c>
      <c r="J6" s="29" t="s">
        <v>135</v>
      </c>
      <c r="K6" s="29" t="s">
        <v>697</v>
      </c>
      <c r="L6" s="595"/>
    </row>
    <row r="7" spans="1:12" ht="15.75" x14ac:dyDescent="0.25">
      <c r="A7" s="28" t="s">
        <v>15</v>
      </c>
      <c r="B7" s="28" t="s">
        <v>16</v>
      </c>
      <c r="C7" s="28" t="s">
        <v>543</v>
      </c>
      <c r="D7" s="28">
        <v>2</v>
      </c>
      <c r="E7" s="28">
        <v>3</v>
      </c>
      <c r="F7" s="28" t="s">
        <v>544</v>
      </c>
      <c r="G7" s="28">
        <v>5</v>
      </c>
      <c r="H7" s="28">
        <v>6</v>
      </c>
      <c r="I7" s="28" t="s">
        <v>726</v>
      </c>
      <c r="J7" s="28">
        <v>8</v>
      </c>
      <c r="K7" s="28">
        <v>9</v>
      </c>
      <c r="L7" s="28">
        <v>10</v>
      </c>
    </row>
    <row r="8" spans="1:12" ht="15.75" x14ac:dyDescent="0.25">
      <c r="A8" s="28"/>
      <c r="B8" s="30" t="s">
        <v>133</v>
      </c>
      <c r="C8" s="28"/>
      <c r="D8" s="28"/>
      <c r="E8" s="28"/>
      <c r="F8" s="28"/>
      <c r="G8" s="28"/>
      <c r="H8" s="28"/>
      <c r="I8" s="28"/>
      <c r="J8" s="28"/>
      <c r="K8" s="28"/>
      <c r="L8" s="28"/>
    </row>
    <row r="9" spans="1:12" ht="15.75" x14ac:dyDescent="0.25">
      <c r="A9" s="28">
        <v>1</v>
      </c>
      <c r="B9" s="31" t="s">
        <v>169</v>
      </c>
      <c r="C9" s="28"/>
      <c r="D9" s="28"/>
      <c r="E9" s="28"/>
      <c r="F9" s="28"/>
      <c r="G9" s="28"/>
      <c r="H9" s="28"/>
      <c r="I9" s="28"/>
      <c r="J9" s="28"/>
      <c r="K9" s="28"/>
      <c r="L9" s="28"/>
    </row>
    <row r="10" spans="1:12" ht="15.75" x14ac:dyDescent="0.25">
      <c r="A10" s="28">
        <v>2</v>
      </c>
      <c r="B10" s="31" t="s">
        <v>170</v>
      </c>
      <c r="C10" s="28"/>
      <c r="D10" s="28"/>
      <c r="E10" s="28"/>
      <c r="F10" s="28"/>
      <c r="G10" s="28"/>
      <c r="H10" s="28"/>
      <c r="I10" s="28"/>
      <c r="J10" s="28"/>
      <c r="K10" s="28"/>
      <c r="L10" s="28"/>
    </row>
    <row r="11" spans="1:12" ht="15.75" x14ac:dyDescent="0.25">
      <c r="A11" s="28">
        <v>3</v>
      </c>
      <c r="B11" s="31" t="s">
        <v>609</v>
      </c>
      <c r="C11" s="28"/>
      <c r="D11" s="28"/>
      <c r="E11" s="28"/>
      <c r="F11" s="28"/>
      <c r="G11" s="28"/>
      <c r="H11" s="28"/>
      <c r="I11" s="28"/>
      <c r="J11" s="28"/>
      <c r="K11" s="28"/>
      <c r="L11" s="28"/>
    </row>
    <row r="12" spans="1:12" ht="15.75" x14ac:dyDescent="0.25">
      <c r="A12" s="28">
        <v>4</v>
      </c>
      <c r="B12" s="31" t="s">
        <v>172</v>
      </c>
      <c r="C12" s="28"/>
      <c r="D12" s="28"/>
      <c r="E12" s="28"/>
      <c r="F12" s="28"/>
      <c r="G12" s="28"/>
      <c r="H12" s="28"/>
      <c r="I12" s="28"/>
      <c r="J12" s="28"/>
      <c r="K12" s="28"/>
      <c r="L12" s="28"/>
    </row>
    <row r="13" spans="1:12" ht="15.75" x14ac:dyDescent="0.25">
      <c r="A13" s="28">
        <v>5</v>
      </c>
      <c r="B13" s="31" t="s">
        <v>588</v>
      </c>
      <c r="C13" s="28"/>
      <c r="D13" s="28"/>
      <c r="E13" s="28"/>
      <c r="F13" s="28"/>
      <c r="G13" s="28"/>
      <c r="H13" s="28"/>
      <c r="I13" s="28"/>
      <c r="J13" s="28"/>
      <c r="K13" s="28"/>
      <c r="L13" s="28"/>
    </row>
    <row r="14" spans="1:12" ht="15.75" x14ac:dyDescent="0.25">
      <c r="A14" s="28">
        <v>6</v>
      </c>
      <c r="B14" s="31" t="s">
        <v>174</v>
      </c>
      <c r="C14" s="28"/>
      <c r="D14" s="28"/>
      <c r="E14" s="28"/>
      <c r="F14" s="28"/>
      <c r="G14" s="28"/>
      <c r="H14" s="28"/>
      <c r="I14" s="28"/>
      <c r="J14" s="28"/>
      <c r="K14" s="28"/>
      <c r="L14" s="28"/>
    </row>
    <row r="15" spans="1:12" ht="15.75" x14ac:dyDescent="0.25">
      <c r="A15" s="28">
        <v>7</v>
      </c>
      <c r="B15" s="31" t="s">
        <v>175</v>
      </c>
      <c r="C15" s="28"/>
      <c r="D15" s="28"/>
      <c r="E15" s="28"/>
      <c r="F15" s="28"/>
      <c r="G15" s="28"/>
      <c r="H15" s="28"/>
      <c r="I15" s="28"/>
      <c r="J15" s="28"/>
      <c r="K15" s="28"/>
      <c r="L15" s="28"/>
    </row>
    <row r="16" spans="1:12" ht="15.75" x14ac:dyDescent="0.25">
      <c r="A16" s="28">
        <v>8</v>
      </c>
      <c r="B16" s="31" t="s">
        <v>611</v>
      </c>
      <c r="C16" s="28"/>
      <c r="D16" s="28"/>
      <c r="E16" s="28"/>
      <c r="F16" s="28"/>
      <c r="G16" s="28"/>
      <c r="H16" s="28"/>
      <c r="I16" s="28"/>
      <c r="J16" s="28"/>
      <c r="K16" s="28"/>
      <c r="L16" s="28"/>
    </row>
    <row r="17" spans="1:12" ht="15.75" x14ac:dyDescent="0.25">
      <c r="A17" s="28">
        <v>9</v>
      </c>
      <c r="B17" s="31" t="s">
        <v>177</v>
      </c>
      <c r="C17" s="28"/>
      <c r="D17" s="28"/>
      <c r="E17" s="28"/>
      <c r="F17" s="28"/>
      <c r="G17" s="28"/>
      <c r="H17" s="28"/>
      <c r="I17" s="28"/>
      <c r="J17" s="28"/>
      <c r="K17" s="28"/>
      <c r="L17" s="28"/>
    </row>
    <row r="18" spans="1:12" ht="15.75" x14ac:dyDescent="0.25">
      <c r="A18" s="28">
        <v>10</v>
      </c>
      <c r="B18" s="31"/>
      <c r="C18" s="28"/>
      <c r="D18" s="28"/>
      <c r="E18" s="28"/>
      <c r="F18" s="28"/>
      <c r="G18" s="28"/>
      <c r="H18" s="28"/>
      <c r="I18" s="28"/>
      <c r="J18" s="28"/>
      <c r="K18" s="28"/>
      <c r="L18" s="28"/>
    </row>
    <row r="19" spans="1:12" ht="42.75" customHeight="1" x14ac:dyDescent="0.25">
      <c r="A19" s="592" t="s">
        <v>727</v>
      </c>
      <c r="B19" s="592"/>
      <c r="C19" s="592"/>
      <c r="D19" s="592"/>
      <c r="E19" s="592"/>
      <c r="F19" s="592"/>
      <c r="G19" s="592"/>
      <c r="H19" s="592"/>
      <c r="I19" s="592"/>
      <c r="J19" s="592"/>
      <c r="K19" s="592"/>
      <c r="L19" s="592"/>
    </row>
  </sheetData>
  <mergeCells count="9">
    <mergeCell ref="A2:L2"/>
    <mergeCell ref="A3:L3"/>
    <mergeCell ref="A19:L19"/>
    <mergeCell ref="A5:A6"/>
    <mergeCell ref="B5:B6"/>
    <mergeCell ref="C5:E5"/>
    <mergeCell ref="F5:H5"/>
    <mergeCell ref="I5:K5"/>
    <mergeCell ref="L5:L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0000"/>
  </sheetPr>
  <dimension ref="A1:L23"/>
  <sheetViews>
    <sheetView workbookViewId="0">
      <selection activeCell="L6" sqref="L6:L7"/>
    </sheetView>
  </sheetViews>
  <sheetFormatPr defaultRowHeight="15" x14ac:dyDescent="0.25"/>
  <cols>
    <col min="1" max="1" width="6.28515625" customWidth="1"/>
    <col min="2" max="2" width="26.28515625" customWidth="1"/>
  </cols>
  <sheetData>
    <row r="1" spans="1:12" ht="15.75" x14ac:dyDescent="0.25">
      <c r="L1" s="25" t="s">
        <v>684</v>
      </c>
    </row>
    <row r="2" spans="1:12" ht="15.75" x14ac:dyDescent="0.25">
      <c r="A2" s="594" t="s">
        <v>728</v>
      </c>
      <c r="B2" s="594"/>
      <c r="C2" s="594"/>
      <c r="D2" s="594"/>
      <c r="E2" s="594"/>
      <c r="F2" s="594"/>
      <c r="G2" s="594"/>
      <c r="H2" s="594"/>
      <c r="I2" s="594"/>
      <c r="J2" s="594"/>
      <c r="K2" s="594"/>
      <c r="L2" s="594"/>
    </row>
    <row r="3" spans="1:12" ht="15.75" x14ac:dyDescent="0.25">
      <c r="A3" s="594" t="s">
        <v>729</v>
      </c>
      <c r="B3" s="594"/>
      <c r="C3" s="594"/>
      <c r="D3" s="594"/>
      <c r="E3" s="594"/>
      <c r="F3" s="594"/>
      <c r="G3" s="594"/>
      <c r="H3" s="594"/>
      <c r="I3" s="594"/>
      <c r="J3" s="594"/>
      <c r="K3" s="594"/>
      <c r="L3" s="594"/>
    </row>
    <row r="4" spans="1:12" x14ac:dyDescent="0.25">
      <c r="A4" s="594" t="s">
        <v>512</v>
      </c>
      <c r="B4" s="649"/>
      <c r="C4" s="649"/>
      <c r="D4" s="649"/>
      <c r="E4" s="649"/>
      <c r="F4" s="649"/>
      <c r="G4" s="649"/>
      <c r="H4" s="649"/>
      <c r="I4" s="649"/>
      <c r="J4" s="649"/>
      <c r="K4" s="649"/>
      <c r="L4" s="649"/>
    </row>
    <row r="5" spans="1:12" ht="15.75" x14ac:dyDescent="0.25">
      <c r="L5" s="26" t="s">
        <v>56</v>
      </c>
    </row>
    <row r="6" spans="1:12" ht="15.75" x14ac:dyDescent="0.25">
      <c r="A6" s="595" t="s">
        <v>3</v>
      </c>
      <c r="B6" s="595" t="s">
        <v>522</v>
      </c>
      <c r="C6" s="595" t="s">
        <v>130</v>
      </c>
      <c r="D6" s="595"/>
      <c r="E6" s="595"/>
      <c r="F6" s="595" t="s">
        <v>730</v>
      </c>
      <c r="G6" s="595"/>
      <c r="H6" s="595"/>
      <c r="I6" s="595" t="s">
        <v>730</v>
      </c>
      <c r="J6" s="595"/>
      <c r="K6" s="595"/>
      <c r="L6" s="595" t="s">
        <v>654</v>
      </c>
    </row>
    <row r="7" spans="1:12" ht="63.75" customHeight="1" x14ac:dyDescent="0.25">
      <c r="A7" s="595"/>
      <c r="B7" s="595"/>
      <c r="C7" s="29" t="s">
        <v>130</v>
      </c>
      <c r="D7" s="29" t="s">
        <v>135</v>
      </c>
      <c r="E7" s="29" t="s">
        <v>697</v>
      </c>
      <c r="F7" s="29" t="s">
        <v>130</v>
      </c>
      <c r="G7" s="29" t="s">
        <v>135</v>
      </c>
      <c r="H7" s="29" t="s">
        <v>697</v>
      </c>
      <c r="I7" s="29" t="s">
        <v>130</v>
      </c>
      <c r="J7" s="29" t="s">
        <v>135</v>
      </c>
      <c r="K7" s="29" t="s">
        <v>697</v>
      </c>
      <c r="L7" s="595"/>
    </row>
    <row r="8" spans="1:12" ht="15.75" x14ac:dyDescent="0.25">
      <c r="A8" s="29" t="s">
        <v>15</v>
      </c>
      <c r="B8" s="29" t="s">
        <v>16</v>
      </c>
      <c r="C8" s="29" t="s">
        <v>543</v>
      </c>
      <c r="D8" s="29">
        <v>2</v>
      </c>
      <c r="E8" s="29">
        <v>3</v>
      </c>
      <c r="F8" s="29" t="s">
        <v>544</v>
      </c>
      <c r="G8" s="29">
        <v>5</v>
      </c>
      <c r="H8" s="29">
        <v>6</v>
      </c>
      <c r="I8" s="29" t="s">
        <v>726</v>
      </c>
      <c r="J8" s="29">
        <v>8</v>
      </c>
      <c r="K8" s="29">
        <v>9</v>
      </c>
      <c r="L8" s="29">
        <v>10</v>
      </c>
    </row>
    <row r="9" spans="1:12" ht="15.75" x14ac:dyDescent="0.25">
      <c r="A9" s="28"/>
      <c r="B9" s="30" t="s">
        <v>133</v>
      </c>
      <c r="C9" s="28"/>
      <c r="D9" s="28"/>
      <c r="E9" s="28"/>
      <c r="F9" s="28"/>
      <c r="G9" s="28"/>
      <c r="H9" s="28"/>
      <c r="I9" s="28"/>
      <c r="J9" s="28"/>
      <c r="K9" s="28"/>
      <c r="L9" s="28"/>
    </row>
    <row r="10" spans="1:12" ht="15.75" x14ac:dyDescent="0.25">
      <c r="A10" s="28">
        <v>1</v>
      </c>
      <c r="B10" s="31" t="s">
        <v>169</v>
      </c>
      <c r="C10" s="28"/>
      <c r="D10" s="28"/>
      <c r="E10" s="28"/>
      <c r="F10" s="28"/>
      <c r="G10" s="28"/>
      <c r="H10" s="28"/>
      <c r="I10" s="28"/>
      <c r="J10" s="28"/>
      <c r="K10" s="28"/>
      <c r="L10" s="28"/>
    </row>
    <row r="11" spans="1:12" ht="15.75" x14ac:dyDescent="0.25">
      <c r="A11" s="28">
        <v>2</v>
      </c>
      <c r="B11" s="31" t="s">
        <v>170</v>
      </c>
      <c r="C11" s="28"/>
      <c r="D11" s="28"/>
      <c r="E11" s="28"/>
      <c r="F11" s="28"/>
      <c r="G11" s="28"/>
      <c r="H11" s="28"/>
      <c r="I11" s="28"/>
      <c r="J11" s="28"/>
      <c r="K11" s="28"/>
      <c r="L11" s="28"/>
    </row>
    <row r="12" spans="1:12" ht="15.75" x14ac:dyDescent="0.25">
      <c r="A12" s="28">
        <v>3</v>
      </c>
      <c r="B12" s="31" t="s">
        <v>609</v>
      </c>
      <c r="C12" s="28"/>
      <c r="D12" s="28"/>
      <c r="E12" s="28"/>
      <c r="F12" s="28"/>
      <c r="G12" s="28"/>
      <c r="H12" s="28"/>
      <c r="I12" s="28"/>
      <c r="J12" s="28"/>
      <c r="K12" s="28"/>
      <c r="L12" s="28"/>
    </row>
    <row r="13" spans="1:12" ht="15.75" x14ac:dyDescent="0.25">
      <c r="A13" s="28">
        <v>4</v>
      </c>
      <c r="B13" s="31" t="s">
        <v>172</v>
      </c>
      <c r="C13" s="28"/>
      <c r="D13" s="28"/>
      <c r="E13" s="28"/>
      <c r="F13" s="28"/>
      <c r="G13" s="28"/>
      <c r="H13" s="28"/>
      <c r="I13" s="28"/>
      <c r="J13" s="28"/>
      <c r="K13" s="28"/>
      <c r="L13" s="28"/>
    </row>
    <row r="14" spans="1:12" ht="15.75" x14ac:dyDescent="0.25">
      <c r="A14" s="28">
        <v>5</v>
      </c>
      <c r="B14" s="31" t="s">
        <v>588</v>
      </c>
      <c r="C14" s="28"/>
      <c r="D14" s="28"/>
      <c r="E14" s="28"/>
      <c r="F14" s="28"/>
      <c r="G14" s="28"/>
      <c r="H14" s="28"/>
      <c r="I14" s="28"/>
      <c r="J14" s="28"/>
      <c r="K14" s="28"/>
      <c r="L14" s="28"/>
    </row>
    <row r="15" spans="1:12" ht="15.75" x14ac:dyDescent="0.25">
      <c r="A15" s="28">
        <v>6</v>
      </c>
      <c r="B15" s="31" t="s">
        <v>174</v>
      </c>
      <c r="C15" s="28"/>
      <c r="D15" s="28"/>
      <c r="E15" s="28"/>
      <c r="F15" s="28"/>
      <c r="G15" s="28"/>
      <c r="H15" s="28"/>
      <c r="I15" s="28"/>
      <c r="J15" s="28"/>
      <c r="K15" s="28"/>
      <c r="L15" s="28"/>
    </row>
    <row r="16" spans="1:12" ht="15.75" x14ac:dyDescent="0.25">
      <c r="A16" s="28">
        <v>7</v>
      </c>
      <c r="B16" s="31" t="s">
        <v>175</v>
      </c>
      <c r="C16" s="28"/>
      <c r="D16" s="28"/>
      <c r="E16" s="28"/>
      <c r="F16" s="28"/>
      <c r="G16" s="28"/>
      <c r="H16" s="28"/>
      <c r="I16" s="28"/>
      <c r="J16" s="28"/>
      <c r="K16" s="28"/>
      <c r="L16" s="28"/>
    </row>
    <row r="17" spans="1:12" ht="15.75" x14ac:dyDescent="0.25">
      <c r="A17" s="28">
        <v>8</v>
      </c>
      <c r="B17" s="31" t="s">
        <v>611</v>
      </c>
      <c r="C17" s="28"/>
      <c r="D17" s="28"/>
      <c r="E17" s="28"/>
      <c r="F17" s="28"/>
      <c r="G17" s="28"/>
      <c r="H17" s="28"/>
      <c r="I17" s="28"/>
      <c r="J17" s="28"/>
      <c r="K17" s="28"/>
      <c r="L17" s="28"/>
    </row>
    <row r="18" spans="1:12" ht="15.75" x14ac:dyDescent="0.25">
      <c r="A18" s="28">
        <v>9</v>
      </c>
      <c r="B18" s="31" t="s">
        <v>177</v>
      </c>
      <c r="C18" s="28"/>
      <c r="D18" s="28"/>
      <c r="E18" s="28"/>
      <c r="F18" s="28"/>
      <c r="G18" s="28"/>
      <c r="H18" s="28"/>
      <c r="I18" s="28"/>
      <c r="J18" s="28"/>
      <c r="K18" s="28"/>
      <c r="L18" s="28"/>
    </row>
    <row r="19" spans="1:12" ht="15.75" x14ac:dyDescent="0.25">
      <c r="A19" s="28">
        <v>10</v>
      </c>
      <c r="B19" s="31"/>
      <c r="C19" s="28"/>
      <c r="D19" s="28"/>
      <c r="E19" s="28"/>
      <c r="F19" s="28"/>
      <c r="G19" s="28"/>
      <c r="H19" s="28"/>
      <c r="I19" s="28" t="s">
        <v>731</v>
      </c>
      <c r="J19" s="28"/>
      <c r="K19" s="28"/>
      <c r="L19" s="28"/>
    </row>
    <row r="20" spans="1:12" ht="15.75" x14ac:dyDescent="0.25">
      <c r="A20" s="28">
        <v>11</v>
      </c>
      <c r="B20" s="31"/>
      <c r="C20" s="28"/>
      <c r="D20" s="28"/>
      <c r="E20" s="28"/>
      <c r="F20" s="28"/>
      <c r="G20" s="28"/>
      <c r="H20" s="28"/>
      <c r="I20" s="28"/>
      <c r="J20" s="28"/>
      <c r="K20" s="28"/>
      <c r="L20" s="28"/>
    </row>
    <row r="21" spans="1:12" ht="15.75" x14ac:dyDescent="0.25">
      <c r="A21" s="28">
        <v>12</v>
      </c>
      <c r="B21" s="31"/>
      <c r="C21" s="28"/>
      <c r="D21" s="28"/>
      <c r="E21" s="28"/>
      <c r="F21" s="28"/>
      <c r="G21" s="28"/>
      <c r="H21" s="28"/>
      <c r="I21" s="28"/>
      <c r="J21" s="28"/>
      <c r="K21" s="28"/>
      <c r="L21" s="28"/>
    </row>
    <row r="22" spans="1:12" ht="39.75" customHeight="1" x14ac:dyDescent="0.25">
      <c r="A22" s="650" t="s">
        <v>732</v>
      </c>
      <c r="B22" s="650"/>
      <c r="C22" s="650"/>
      <c r="D22" s="650"/>
      <c r="E22" s="650"/>
      <c r="F22" s="650"/>
      <c r="G22" s="650"/>
      <c r="H22" s="650"/>
      <c r="I22" s="650"/>
      <c r="J22" s="650"/>
      <c r="K22" s="650"/>
      <c r="L22" s="650"/>
    </row>
    <row r="23" spans="1:12" ht="15.75" x14ac:dyDescent="0.25">
      <c r="A23" s="35"/>
    </row>
  </sheetData>
  <mergeCells count="10">
    <mergeCell ref="A2:L2"/>
    <mergeCell ref="A3:L3"/>
    <mergeCell ref="A4:L4"/>
    <mergeCell ref="A22:L22"/>
    <mergeCell ref="A6:A7"/>
    <mergeCell ref="B6:B7"/>
    <mergeCell ref="C6:E6"/>
    <mergeCell ref="F6:H6"/>
    <mergeCell ref="I6:K6"/>
    <mergeCell ref="L6:L7"/>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0000"/>
  </sheetPr>
  <dimension ref="A1:M20"/>
  <sheetViews>
    <sheetView workbookViewId="0">
      <selection activeCell="L6" sqref="L6:L7"/>
    </sheetView>
  </sheetViews>
  <sheetFormatPr defaultRowHeight="15" x14ac:dyDescent="0.25"/>
  <cols>
    <col min="1" max="1" width="6.28515625" customWidth="1"/>
    <col min="2" max="2" width="14.7109375" customWidth="1"/>
    <col min="3" max="13" width="10.28515625" customWidth="1"/>
  </cols>
  <sheetData>
    <row r="1" spans="1:13" ht="15.75" x14ac:dyDescent="0.25">
      <c r="M1" s="25" t="s">
        <v>685</v>
      </c>
    </row>
    <row r="2" spans="1:13" ht="24" customHeight="1" x14ac:dyDescent="0.25">
      <c r="A2" s="594" t="s">
        <v>733</v>
      </c>
      <c r="B2" s="594"/>
      <c r="C2" s="594"/>
      <c r="D2" s="594"/>
      <c r="E2" s="594"/>
      <c r="F2" s="594"/>
      <c r="G2" s="594"/>
      <c r="H2" s="594"/>
      <c r="I2" s="594"/>
      <c r="J2" s="594"/>
      <c r="K2" s="594"/>
      <c r="L2" s="594"/>
      <c r="M2" s="594"/>
    </row>
    <row r="3" spans="1:13" ht="15.75" x14ac:dyDescent="0.25">
      <c r="A3" s="551" t="s">
        <v>126</v>
      </c>
      <c r="B3" s="551"/>
      <c r="C3" s="551"/>
      <c r="D3" s="551"/>
      <c r="E3" s="551"/>
      <c r="F3" s="551"/>
      <c r="G3" s="551"/>
      <c r="H3" s="551"/>
      <c r="I3" s="551"/>
      <c r="J3" s="551"/>
      <c r="K3" s="551"/>
      <c r="L3" s="551"/>
      <c r="M3" s="551"/>
    </row>
    <row r="4" spans="1:13" ht="15.75" x14ac:dyDescent="0.25">
      <c r="M4" s="26" t="s">
        <v>56</v>
      </c>
    </row>
    <row r="5" spans="1:13" ht="15.75" x14ac:dyDescent="0.25">
      <c r="A5" s="595" t="s">
        <v>3</v>
      </c>
      <c r="B5" s="595" t="s">
        <v>616</v>
      </c>
      <c r="C5" s="595" t="s">
        <v>734</v>
      </c>
      <c r="D5" s="595" t="s">
        <v>357</v>
      </c>
      <c r="E5" s="595"/>
      <c r="F5" s="595"/>
      <c r="G5" s="595"/>
      <c r="H5" s="595" t="s">
        <v>735</v>
      </c>
      <c r="I5" s="595" t="s">
        <v>736</v>
      </c>
      <c r="J5" s="595"/>
      <c r="K5" s="595"/>
      <c r="L5" s="595"/>
      <c r="M5" s="595" t="s">
        <v>737</v>
      </c>
    </row>
    <row r="6" spans="1:13" ht="47.25" customHeight="1" x14ac:dyDescent="0.25">
      <c r="A6" s="595"/>
      <c r="B6" s="595"/>
      <c r="C6" s="595"/>
      <c r="D6" s="595" t="s">
        <v>620</v>
      </c>
      <c r="E6" s="595"/>
      <c r="F6" s="595" t="s">
        <v>621</v>
      </c>
      <c r="G6" s="595" t="s">
        <v>622</v>
      </c>
      <c r="H6" s="595"/>
      <c r="I6" s="595" t="s">
        <v>620</v>
      </c>
      <c r="J6" s="595"/>
      <c r="K6" s="595" t="s">
        <v>621</v>
      </c>
      <c r="L6" s="595" t="s">
        <v>622</v>
      </c>
      <c r="M6" s="595"/>
    </row>
    <row r="7" spans="1:13" ht="78.75" x14ac:dyDescent="0.25">
      <c r="A7" s="595"/>
      <c r="B7" s="595"/>
      <c r="C7" s="595"/>
      <c r="D7" s="29" t="s">
        <v>130</v>
      </c>
      <c r="E7" s="29" t="s">
        <v>623</v>
      </c>
      <c r="F7" s="595"/>
      <c r="G7" s="595"/>
      <c r="H7" s="595"/>
      <c r="I7" s="29" t="s">
        <v>130</v>
      </c>
      <c r="J7" s="29" t="s">
        <v>738</v>
      </c>
      <c r="K7" s="595"/>
      <c r="L7" s="595"/>
      <c r="M7" s="595"/>
    </row>
    <row r="8" spans="1:13" ht="15.75" x14ac:dyDescent="0.25">
      <c r="A8" s="29" t="s">
        <v>15</v>
      </c>
      <c r="B8" s="29" t="s">
        <v>16</v>
      </c>
      <c r="C8" s="29">
        <v>1</v>
      </c>
      <c r="D8" s="29">
        <v>2</v>
      </c>
      <c r="E8" s="29">
        <v>3</v>
      </c>
      <c r="F8" s="29">
        <v>4</v>
      </c>
      <c r="G8" s="29" t="s">
        <v>739</v>
      </c>
      <c r="H8" s="29" t="s">
        <v>740</v>
      </c>
      <c r="I8" s="29">
        <v>7</v>
      </c>
      <c r="J8" s="29">
        <v>8</v>
      </c>
      <c r="K8" s="29">
        <v>9</v>
      </c>
      <c r="L8" s="29" t="s">
        <v>741</v>
      </c>
      <c r="M8" s="29" t="s">
        <v>742</v>
      </c>
    </row>
    <row r="9" spans="1:13" ht="15.75" x14ac:dyDescent="0.25">
      <c r="A9" s="28">
        <v>1</v>
      </c>
      <c r="B9" s="31" t="s">
        <v>627</v>
      </c>
      <c r="C9" s="41"/>
      <c r="D9" s="41"/>
      <c r="E9" s="41"/>
      <c r="F9" s="41"/>
      <c r="G9" s="41"/>
      <c r="H9" s="41"/>
      <c r="I9" s="41"/>
      <c r="J9" s="41"/>
      <c r="K9" s="41"/>
      <c r="L9" s="41"/>
      <c r="M9" s="41"/>
    </row>
    <row r="10" spans="1:13" ht="15.75" x14ac:dyDescent="0.25">
      <c r="A10" s="28">
        <v>2</v>
      </c>
      <c r="B10" s="31" t="s">
        <v>628</v>
      </c>
      <c r="C10" s="41"/>
      <c r="D10" s="41"/>
      <c r="E10" s="41"/>
      <c r="F10" s="41"/>
      <c r="G10" s="41"/>
      <c r="H10" s="41"/>
      <c r="I10" s="41"/>
      <c r="J10" s="41"/>
      <c r="K10" s="41"/>
      <c r="L10" s="41"/>
      <c r="M10" s="41"/>
    </row>
    <row r="11" spans="1:13" ht="15.75" x14ac:dyDescent="0.25">
      <c r="A11" s="28">
        <v>3</v>
      </c>
      <c r="B11" s="31" t="s">
        <v>629</v>
      </c>
      <c r="C11" s="41"/>
      <c r="D11" s="41"/>
      <c r="E11" s="41"/>
      <c r="F11" s="41"/>
      <c r="G11" s="41"/>
      <c r="H11" s="41"/>
      <c r="I11" s="41"/>
      <c r="J11" s="41"/>
      <c r="K11" s="41"/>
      <c r="L11" s="41"/>
      <c r="M11" s="41"/>
    </row>
    <row r="12" spans="1:13" ht="15.75" x14ac:dyDescent="0.25">
      <c r="A12" s="28">
        <v>4</v>
      </c>
      <c r="B12" s="31" t="s">
        <v>532</v>
      </c>
      <c r="C12" s="41"/>
      <c r="D12" s="41"/>
      <c r="E12" s="41"/>
      <c r="F12" s="41"/>
      <c r="G12" s="41"/>
      <c r="H12" s="41"/>
      <c r="I12" s="41"/>
      <c r="J12" s="41"/>
      <c r="K12" s="41"/>
      <c r="L12" s="41"/>
      <c r="M12" s="41"/>
    </row>
    <row r="13" spans="1:13" ht="15.75" x14ac:dyDescent="0.25">
      <c r="A13" s="28">
        <v>5</v>
      </c>
      <c r="B13" s="37"/>
      <c r="C13" s="41"/>
      <c r="D13" s="41"/>
      <c r="E13" s="41"/>
      <c r="F13" s="41"/>
      <c r="G13" s="41"/>
      <c r="H13" s="41"/>
      <c r="I13" s="41"/>
      <c r="J13" s="41"/>
      <c r="K13" s="41"/>
      <c r="L13" s="41"/>
      <c r="M13" s="41"/>
    </row>
    <row r="14" spans="1:13" ht="15.75" x14ac:dyDescent="0.25">
      <c r="A14" s="28">
        <v>6</v>
      </c>
      <c r="B14" s="37"/>
      <c r="C14" s="41"/>
      <c r="D14" s="41"/>
      <c r="E14" s="41"/>
      <c r="F14" s="41"/>
      <c r="G14" s="41"/>
      <c r="H14" s="41"/>
      <c r="I14" s="41"/>
      <c r="J14" s="41"/>
      <c r="K14" s="41"/>
      <c r="L14" s="41"/>
      <c r="M14" s="41"/>
    </row>
    <row r="15" spans="1:13" ht="15.75" x14ac:dyDescent="0.25">
      <c r="A15" s="28">
        <v>7</v>
      </c>
      <c r="B15" s="37"/>
      <c r="C15" s="41"/>
      <c r="D15" s="41"/>
      <c r="E15" s="41"/>
      <c r="F15" s="41"/>
      <c r="G15" s="41"/>
      <c r="H15" s="41"/>
      <c r="I15" s="41"/>
      <c r="J15" s="41"/>
      <c r="K15" s="41"/>
      <c r="L15" s="41"/>
      <c r="M15" s="41"/>
    </row>
    <row r="16" spans="1:13" ht="15.75" x14ac:dyDescent="0.25">
      <c r="A16" s="28">
        <v>8</v>
      </c>
      <c r="B16" s="37"/>
      <c r="C16" s="41"/>
      <c r="D16" s="41"/>
      <c r="E16" s="41"/>
      <c r="F16" s="41"/>
      <c r="G16" s="41"/>
      <c r="H16" s="41"/>
      <c r="I16" s="41"/>
      <c r="J16" s="41"/>
      <c r="K16" s="41"/>
      <c r="L16" s="41"/>
      <c r="M16" s="41"/>
    </row>
    <row r="17" spans="1:13" ht="15.75" x14ac:dyDescent="0.25">
      <c r="A17" s="28">
        <v>9</v>
      </c>
      <c r="B17" s="37"/>
      <c r="C17" s="41"/>
      <c r="D17" s="41"/>
      <c r="E17" s="41"/>
      <c r="F17" s="41"/>
      <c r="G17" s="41"/>
      <c r="H17" s="41"/>
      <c r="I17" s="41"/>
      <c r="J17" s="41"/>
      <c r="K17" s="41"/>
      <c r="L17" s="41"/>
      <c r="M17" s="41"/>
    </row>
    <row r="18" spans="1:13" ht="15.75" x14ac:dyDescent="0.25">
      <c r="A18" s="28">
        <v>10</v>
      </c>
      <c r="B18" s="37"/>
      <c r="C18" s="41"/>
      <c r="D18" s="41"/>
      <c r="E18" s="41"/>
      <c r="F18" s="41"/>
      <c r="G18" s="41"/>
      <c r="H18" s="41"/>
      <c r="I18" s="41"/>
      <c r="J18" s="41"/>
      <c r="K18" s="41"/>
      <c r="L18" s="41"/>
      <c r="M18" s="41"/>
    </row>
    <row r="19" spans="1:13" ht="15.75" x14ac:dyDescent="0.25">
      <c r="A19" s="28">
        <v>11</v>
      </c>
      <c r="B19" s="37"/>
      <c r="C19" s="41"/>
      <c r="D19" s="41"/>
      <c r="E19" s="41"/>
      <c r="F19" s="41"/>
      <c r="G19" s="41"/>
      <c r="H19" s="41"/>
      <c r="I19" s="41"/>
      <c r="J19" s="41"/>
      <c r="K19" s="41"/>
      <c r="L19" s="41"/>
      <c r="M19" s="41"/>
    </row>
    <row r="20" spans="1:13" ht="15.75" x14ac:dyDescent="0.25">
      <c r="A20" s="28">
        <v>15</v>
      </c>
      <c r="B20" s="37"/>
      <c r="C20" s="41"/>
      <c r="D20" s="41"/>
      <c r="E20" s="41"/>
      <c r="F20" s="41"/>
      <c r="G20" s="41"/>
      <c r="H20" s="41"/>
      <c r="I20" s="41"/>
      <c r="J20" s="41"/>
      <c r="K20" s="41"/>
      <c r="L20" s="41"/>
      <c r="M20" s="41"/>
    </row>
  </sheetData>
  <mergeCells count="15">
    <mergeCell ref="A2:M2"/>
    <mergeCell ref="A3:M3"/>
    <mergeCell ref="M5:M7"/>
    <mergeCell ref="D6:E6"/>
    <mergeCell ref="F6:F7"/>
    <mergeCell ref="G6:G7"/>
    <mergeCell ref="I6:J6"/>
    <mergeCell ref="K6:K7"/>
    <mergeCell ref="L6:L7"/>
    <mergeCell ref="A5:A7"/>
    <mergeCell ref="B5:B7"/>
    <mergeCell ref="C5:C7"/>
    <mergeCell ref="D5:G5"/>
    <mergeCell ref="H5:H7"/>
    <mergeCell ref="I5:L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0000"/>
  </sheetPr>
  <dimension ref="A1:DG124"/>
  <sheetViews>
    <sheetView topLeftCell="BK1" workbookViewId="0">
      <selection activeCell="DK16" sqref="DK16"/>
    </sheetView>
  </sheetViews>
  <sheetFormatPr defaultColWidth="9.28515625" defaultRowHeight="15.75" x14ac:dyDescent="0.25"/>
  <cols>
    <col min="1" max="1" width="8.7109375" style="223" customWidth="1"/>
    <col min="2" max="2" width="48.28515625" style="223" customWidth="1"/>
    <col min="3" max="3" width="17.42578125" style="302" hidden="1" customWidth="1"/>
    <col min="4" max="4" width="17.5703125" style="303" hidden="1" customWidth="1"/>
    <col min="5" max="5" width="10.7109375" style="304" hidden="1" customWidth="1"/>
    <col min="6" max="6" width="10.5703125" style="304" hidden="1" customWidth="1"/>
    <col min="7" max="7" width="21" style="302" hidden="1" customWidth="1"/>
    <col min="8" max="8" width="14.28515625" style="305" hidden="1" customWidth="1"/>
    <col min="9" max="9" width="13.7109375" style="305" hidden="1" customWidth="1"/>
    <col min="10" max="10" width="13.28515625" style="305" hidden="1" customWidth="1"/>
    <col min="11" max="11" width="11.28515625" style="305" hidden="1" customWidth="1"/>
    <col min="12" max="12" width="12.7109375" style="305" hidden="1" customWidth="1"/>
    <col min="13" max="13" width="14.28515625" style="305" hidden="1" customWidth="1"/>
    <col min="14" max="14" width="15.28515625" style="306" hidden="1" customWidth="1"/>
    <col min="15" max="15" width="13.5703125" style="306" hidden="1" customWidth="1"/>
    <col min="16" max="16" width="15.5703125" style="306" hidden="1" customWidth="1"/>
    <col min="17" max="17" width="14.5703125" style="305" hidden="1" customWidth="1"/>
    <col min="18" max="18" width="12.28515625" style="305" hidden="1" customWidth="1"/>
    <col min="19" max="19" width="13.5703125" style="305" hidden="1" customWidth="1"/>
    <col min="20" max="20" width="12.28515625" style="305" hidden="1" customWidth="1"/>
    <col min="21" max="21" width="11.28515625" style="305" hidden="1" customWidth="1"/>
    <col min="22" max="22" width="15.28515625" style="305" hidden="1" customWidth="1"/>
    <col min="23" max="23" width="15" style="305" hidden="1" customWidth="1"/>
    <col min="24" max="24" width="14.7109375" style="305" hidden="1" customWidth="1"/>
    <col min="25" max="25" width="15.42578125" style="305" hidden="1" customWidth="1"/>
    <col min="26" max="26" width="14.7109375" style="305" hidden="1" customWidth="1"/>
    <col min="27" max="27" width="15.42578125" style="305" hidden="1" customWidth="1"/>
    <col min="28" max="28" width="14.7109375" style="305" hidden="1" customWidth="1"/>
    <col min="29" max="29" width="12.42578125" style="305" hidden="1" customWidth="1"/>
    <col min="30" max="30" width="13.7109375" style="305" hidden="1" customWidth="1"/>
    <col min="31" max="31" width="14.7109375" style="305" hidden="1" customWidth="1"/>
    <col min="32" max="32" width="13.42578125" style="305" hidden="1" customWidth="1"/>
    <col min="33" max="33" width="12.7109375" style="225" hidden="1" customWidth="1"/>
    <col min="34" max="34" width="12.28515625" style="225" hidden="1" customWidth="1"/>
    <col min="35" max="35" width="11.5703125" style="225" hidden="1" customWidth="1"/>
    <col min="36" max="36" width="12.42578125" style="225" hidden="1" customWidth="1"/>
    <col min="37" max="37" width="13.28515625" style="225" hidden="1" customWidth="1"/>
    <col min="38" max="38" width="13.5703125" style="225" hidden="1" customWidth="1"/>
    <col min="39" max="39" width="15.28515625" style="225" hidden="1" customWidth="1"/>
    <col min="40" max="40" width="13.42578125" style="225" hidden="1" customWidth="1"/>
    <col min="41" max="41" width="15.42578125" style="225" hidden="1" customWidth="1"/>
    <col min="42" max="42" width="13.28515625" style="225" hidden="1" customWidth="1"/>
    <col min="43" max="44" width="13.42578125" style="225" hidden="1" customWidth="1"/>
    <col min="45" max="45" width="12.7109375" style="225" hidden="1" customWidth="1"/>
    <col min="46" max="46" width="12" style="225" hidden="1" customWidth="1"/>
    <col min="47" max="47" width="12.7109375" style="225" hidden="1" customWidth="1"/>
    <col min="48" max="48" width="13.7109375" style="225" hidden="1" customWidth="1"/>
    <col min="49" max="49" width="14.28515625" style="225" hidden="1" customWidth="1"/>
    <col min="50" max="50" width="15.28515625" style="225" hidden="1" customWidth="1"/>
    <col min="51" max="51" width="14.7109375" style="225" hidden="1" customWidth="1"/>
    <col min="52" max="52" width="15.5703125" style="225" hidden="1" customWidth="1"/>
    <col min="53" max="53" width="18.42578125" style="225" hidden="1" customWidth="1"/>
    <col min="54" max="54" width="12.7109375" style="225" hidden="1" customWidth="1"/>
    <col min="55" max="55" width="13.42578125" style="225" hidden="1" customWidth="1"/>
    <col min="56" max="56" width="13.5703125" style="225" hidden="1" customWidth="1"/>
    <col min="57" max="57" width="15.28515625" style="225" hidden="1" customWidth="1"/>
    <col min="58" max="58" width="13.5703125" style="225" hidden="1" customWidth="1"/>
    <col min="59" max="59" width="16.42578125" style="225" hidden="1" customWidth="1"/>
    <col min="60" max="60" width="12.7109375" style="225" hidden="1" customWidth="1"/>
    <col min="61" max="61" width="14.28515625" style="225" hidden="1" customWidth="1"/>
    <col min="62" max="62" width="16.42578125" style="307" hidden="1" customWidth="1"/>
    <col min="63" max="63" width="9.28515625" style="302" customWidth="1"/>
    <col min="64" max="64" width="9.28515625" style="302"/>
    <col min="65" max="65" width="18.7109375" style="302" customWidth="1"/>
    <col min="66" max="66" width="13.28515625" style="305" customWidth="1"/>
    <col min="67" max="67" width="12.7109375" style="305" customWidth="1"/>
    <col min="68" max="68" width="12.28515625" style="306" hidden="1" customWidth="1"/>
    <col min="69" max="69" width="10.28515625" style="306" hidden="1" customWidth="1"/>
    <col min="70" max="71" width="10.5703125" style="306" hidden="1" customWidth="1"/>
    <col min="72" max="73" width="12.28515625" style="306" hidden="1" customWidth="1"/>
    <col min="74" max="74" width="10.28515625" style="306" hidden="1" customWidth="1"/>
    <col min="75" max="76" width="10.5703125" style="306" hidden="1" customWidth="1"/>
    <col min="77" max="77" width="12.28515625" style="306" hidden="1" customWidth="1"/>
    <col min="78" max="78" width="13.42578125" style="305" hidden="1" customWidth="1"/>
    <col min="79" max="80" width="10.7109375" style="305" hidden="1" customWidth="1"/>
    <col min="81" max="81" width="10.42578125" style="305" hidden="1" customWidth="1"/>
    <col min="82" max="82" width="12.28515625" style="305" hidden="1" customWidth="1"/>
    <col min="83" max="83" width="14.28515625" style="305" hidden="1" customWidth="1"/>
    <col min="84" max="84" width="11.5703125" style="305" hidden="1" customWidth="1"/>
    <col min="85" max="85" width="10.7109375" style="305" hidden="1" customWidth="1"/>
    <col min="86" max="86" width="10.42578125" style="305" hidden="1" customWidth="1"/>
    <col min="87" max="87" width="12.28515625" style="305" hidden="1" customWidth="1"/>
    <col min="88" max="88" width="12.5703125" style="308" hidden="1" customWidth="1"/>
    <col min="89" max="89" width="12.7109375" style="308" hidden="1" customWidth="1"/>
    <col min="90" max="90" width="12.5703125" style="308" hidden="1" customWidth="1"/>
    <col min="91" max="91" width="11.7109375" style="308" hidden="1" customWidth="1"/>
    <col min="92" max="92" width="12.28515625" style="308" hidden="1" customWidth="1"/>
    <col min="93" max="93" width="13.7109375" style="225" hidden="1" customWidth="1"/>
    <col min="94" max="94" width="12.42578125" style="225" hidden="1" customWidth="1"/>
    <col min="95" max="95" width="13.7109375" style="225" hidden="1" customWidth="1"/>
    <col min="96" max="96" width="13.5703125" style="225" hidden="1" customWidth="1"/>
    <col min="97" max="97" width="12.7109375" style="225" hidden="1" customWidth="1"/>
    <col min="98" max="98" width="12.28515625" style="305" customWidth="1"/>
    <col min="99" max="99" width="12" style="305" customWidth="1"/>
    <col min="100" max="100" width="11.7109375" style="305" hidden="1" customWidth="1"/>
    <col min="101" max="101" width="12.28515625" style="305" customWidth="1"/>
    <col min="102" max="102" width="12.7109375" style="308" hidden="1" customWidth="1"/>
    <col min="103" max="103" width="11.28515625" style="305" hidden="1" customWidth="1"/>
    <col min="104" max="104" width="10" style="309" customWidth="1"/>
    <col min="105" max="105" width="19.28515625" style="309" hidden="1" customWidth="1"/>
    <col min="106" max="106" width="13.28515625" style="223" hidden="1" customWidth="1"/>
    <col min="107" max="107" width="10.28515625" style="223" hidden="1" customWidth="1"/>
    <col min="108" max="108" width="9.5703125" style="223" hidden="1" customWidth="1"/>
    <col min="109" max="109" width="38.28515625" style="223" hidden="1" customWidth="1"/>
    <col min="110" max="110" width="22.42578125" style="222" hidden="1" customWidth="1"/>
    <col min="111" max="111" width="11.42578125" style="223" bestFit="1" customWidth="1"/>
    <col min="112" max="16384" width="9.28515625" style="223"/>
  </cols>
  <sheetData>
    <row r="1" spans="1:111" x14ac:dyDescent="0.25">
      <c r="A1" s="667" t="s">
        <v>1576</v>
      </c>
      <c r="B1" s="667"/>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c r="AG1" s="667"/>
      <c r="AH1" s="667"/>
      <c r="AI1" s="667"/>
      <c r="AJ1" s="667"/>
      <c r="AK1" s="667"/>
      <c r="AL1" s="667"/>
      <c r="AM1" s="667"/>
      <c r="AN1" s="667"/>
      <c r="AO1" s="667"/>
      <c r="AP1" s="667"/>
      <c r="AQ1" s="667"/>
      <c r="AR1" s="667"/>
      <c r="AS1" s="667"/>
      <c r="AT1" s="667"/>
      <c r="AU1" s="667"/>
      <c r="AV1" s="667"/>
      <c r="AW1" s="667"/>
      <c r="AX1" s="667"/>
      <c r="AY1" s="667"/>
      <c r="AZ1" s="667"/>
      <c r="BA1" s="667"/>
      <c r="BB1" s="667"/>
      <c r="BC1" s="667"/>
      <c r="BD1" s="667"/>
      <c r="BE1" s="667"/>
      <c r="BF1" s="667"/>
      <c r="BG1" s="667"/>
      <c r="BH1" s="667"/>
      <c r="BI1" s="667"/>
      <c r="BJ1" s="667"/>
      <c r="BK1" s="667"/>
      <c r="BL1" s="667"/>
      <c r="BM1" s="667"/>
      <c r="BN1" s="667"/>
      <c r="BO1" s="667"/>
      <c r="BP1" s="667"/>
      <c r="BQ1" s="667"/>
      <c r="BR1" s="667"/>
      <c r="BS1" s="667"/>
      <c r="BT1" s="667"/>
      <c r="BU1" s="667"/>
      <c r="BV1" s="667"/>
      <c r="BW1" s="667"/>
      <c r="BX1" s="667"/>
      <c r="BY1" s="667"/>
      <c r="BZ1" s="667"/>
      <c r="CA1" s="667"/>
      <c r="CB1" s="667"/>
      <c r="CC1" s="667"/>
      <c r="CD1" s="667"/>
      <c r="CE1" s="667"/>
      <c r="CF1" s="667"/>
      <c r="CG1" s="667"/>
      <c r="CH1" s="667"/>
      <c r="CI1" s="667"/>
      <c r="CJ1" s="667"/>
      <c r="CK1" s="667"/>
      <c r="CL1" s="667"/>
      <c r="CM1" s="667"/>
      <c r="CN1" s="667"/>
      <c r="CO1" s="667"/>
      <c r="CP1" s="667"/>
      <c r="CQ1" s="667"/>
      <c r="CR1" s="667"/>
      <c r="CS1" s="667"/>
      <c r="CT1" s="667"/>
      <c r="CU1" s="667"/>
      <c r="CV1" s="667"/>
      <c r="CW1" s="667"/>
      <c r="CX1" s="667"/>
      <c r="CY1" s="667"/>
      <c r="CZ1" s="667"/>
      <c r="DA1" s="667"/>
      <c r="DB1" s="667"/>
      <c r="DC1" s="667"/>
      <c r="DD1" s="667"/>
      <c r="DE1" s="667"/>
    </row>
    <row r="2" spans="1:111" x14ac:dyDescent="0.25">
      <c r="A2" s="667" t="s">
        <v>1577</v>
      </c>
      <c r="B2" s="667"/>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667"/>
      <c r="AL2" s="667"/>
      <c r="AM2" s="667"/>
      <c r="AN2" s="667"/>
      <c r="AO2" s="667"/>
      <c r="AP2" s="667"/>
      <c r="AQ2" s="667"/>
      <c r="AR2" s="667"/>
      <c r="AS2" s="667"/>
      <c r="AT2" s="667"/>
      <c r="AU2" s="667"/>
      <c r="AV2" s="667"/>
      <c r="AW2" s="667"/>
      <c r="AX2" s="667"/>
      <c r="AY2" s="667"/>
      <c r="AZ2" s="667"/>
      <c r="BA2" s="667"/>
      <c r="BB2" s="667"/>
      <c r="BC2" s="667"/>
      <c r="BD2" s="667"/>
      <c r="BE2" s="667"/>
      <c r="BF2" s="667"/>
      <c r="BG2" s="667"/>
      <c r="BH2" s="667"/>
      <c r="BI2" s="667"/>
      <c r="BJ2" s="667"/>
      <c r="BK2" s="667"/>
      <c r="BL2" s="667"/>
      <c r="BM2" s="667"/>
      <c r="BN2" s="667"/>
      <c r="BO2" s="667"/>
      <c r="BP2" s="667"/>
      <c r="BQ2" s="667"/>
      <c r="BR2" s="667"/>
      <c r="BS2" s="667"/>
      <c r="BT2" s="667"/>
      <c r="BU2" s="667"/>
      <c r="BV2" s="667"/>
      <c r="BW2" s="667"/>
      <c r="BX2" s="667"/>
      <c r="BY2" s="667"/>
      <c r="BZ2" s="667"/>
      <c r="CA2" s="667"/>
      <c r="CB2" s="667"/>
      <c r="CC2" s="667"/>
      <c r="CD2" s="667"/>
      <c r="CE2" s="667"/>
      <c r="CF2" s="667"/>
      <c r="CG2" s="667"/>
      <c r="CH2" s="667"/>
      <c r="CI2" s="667"/>
      <c r="CJ2" s="667"/>
      <c r="CK2" s="667"/>
      <c r="CL2" s="667"/>
      <c r="CM2" s="667"/>
      <c r="CN2" s="667"/>
      <c r="CO2" s="667"/>
      <c r="CP2" s="667"/>
      <c r="CQ2" s="667"/>
      <c r="CR2" s="667"/>
      <c r="CS2" s="667"/>
      <c r="CT2" s="667"/>
      <c r="CU2" s="667"/>
      <c r="CV2" s="667"/>
      <c r="CW2" s="667"/>
      <c r="CX2" s="667"/>
      <c r="CY2" s="667"/>
      <c r="CZ2" s="667"/>
      <c r="DA2" s="667"/>
      <c r="DB2" s="667"/>
      <c r="DC2" s="667"/>
      <c r="DD2" s="667"/>
      <c r="DE2" s="667"/>
    </row>
    <row r="3" spans="1:111" x14ac:dyDescent="0.25">
      <c r="A3" s="668" t="s">
        <v>1578</v>
      </c>
      <c r="B3" s="668"/>
      <c r="C3" s="668"/>
      <c r="D3" s="668"/>
      <c r="E3" s="668"/>
      <c r="F3" s="668"/>
      <c r="G3" s="668"/>
      <c r="H3" s="668"/>
      <c r="I3" s="668"/>
      <c r="J3" s="668"/>
      <c r="K3" s="668"/>
      <c r="L3" s="668"/>
      <c r="M3" s="668"/>
      <c r="N3" s="668"/>
      <c r="O3" s="668"/>
      <c r="P3" s="668"/>
      <c r="Q3" s="668"/>
      <c r="R3" s="668"/>
      <c r="S3" s="668"/>
      <c r="T3" s="668"/>
      <c r="U3" s="668"/>
      <c r="V3" s="668"/>
      <c r="W3" s="668"/>
      <c r="X3" s="668"/>
      <c r="Y3" s="668"/>
      <c r="Z3" s="668"/>
      <c r="AA3" s="668"/>
      <c r="AB3" s="668"/>
      <c r="AC3" s="668"/>
      <c r="AD3" s="668"/>
      <c r="AE3" s="668"/>
      <c r="AF3" s="668"/>
      <c r="AG3" s="668"/>
      <c r="AH3" s="668"/>
      <c r="AI3" s="668"/>
      <c r="AJ3" s="668"/>
      <c r="AK3" s="668"/>
      <c r="AL3" s="668"/>
      <c r="AM3" s="668"/>
      <c r="AN3" s="668"/>
      <c r="AO3" s="668"/>
      <c r="AP3" s="668"/>
      <c r="AQ3" s="668"/>
      <c r="AR3" s="668"/>
      <c r="AS3" s="668"/>
      <c r="AT3" s="668"/>
      <c r="AU3" s="668"/>
      <c r="AV3" s="668"/>
      <c r="AW3" s="668"/>
      <c r="AX3" s="668"/>
      <c r="AY3" s="668"/>
      <c r="AZ3" s="668"/>
      <c r="BA3" s="668"/>
      <c r="BB3" s="668"/>
      <c r="BC3" s="668"/>
      <c r="BD3" s="668"/>
      <c r="BE3" s="668"/>
      <c r="BF3" s="668"/>
      <c r="BG3" s="668"/>
      <c r="BH3" s="668"/>
      <c r="BI3" s="668"/>
      <c r="BJ3" s="668"/>
      <c r="BK3" s="668"/>
      <c r="BL3" s="668"/>
      <c r="BM3" s="668"/>
      <c r="BN3" s="668"/>
      <c r="BO3" s="668"/>
      <c r="BP3" s="668"/>
      <c r="BQ3" s="668"/>
      <c r="BR3" s="668"/>
      <c r="BS3" s="668"/>
      <c r="BT3" s="668"/>
      <c r="BU3" s="668"/>
      <c r="BV3" s="668"/>
      <c r="BW3" s="668"/>
      <c r="BX3" s="668"/>
      <c r="BY3" s="668"/>
      <c r="BZ3" s="668"/>
      <c r="CA3" s="668"/>
      <c r="CB3" s="668"/>
      <c r="CC3" s="668"/>
      <c r="CD3" s="668"/>
      <c r="CE3" s="668"/>
      <c r="CF3" s="668"/>
      <c r="CG3" s="668"/>
      <c r="CH3" s="668"/>
      <c r="CI3" s="668"/>
      <c r="CJ3" s="668"/>
      <c r="CK3" s="668"/>
      <c r="CL3" s="668"/>
      <c r="CM3" s="668"/>
      <c r="CN3" s="668"/>
      <c r="CO3" s="668"/>
      <c r="CP3" s="668"/>
      <c r="CQ3" s="668"/>
      <c r="CR3" s="668"/>
      <c r="CS3" s="668"/>
      <c r="CT3" s="668"/>
      <c r="CU3" s="668"/>
      <c r="CV3" s="668"/>
      <c r="CW3" s="668"/>
      <c r="CX3" s="668"/>
      <c r="CY3" s="668"/>
      <c r="CZ3" s="668"/>
      <c r="DA3" s="668"/>
      <c r="DB3" s="668"/>
      <c r="DC3" s="668"/>
      <c r="DD3" s="668"/>
      <c r="DE3" s="668"/>
    </row>
    <row r="4" spans="1:111" ht="21.75" customHeight="1" x14ac:dyDescent="0.25">
      <c r="A4" s="669" t="s">
        <v>56</v>
      </c>
      <c r="B4" s="669"/>
      <c r="C4" s="669"/>
      <c r="D4" s="669"/>
      <c r="E4" s="669"/>
      <c r="F4" s="669"/>
      <c r="G4" s="669"/>
      <c r="H4" s="669"/>
      <c r="I4" s="669"/>
      <c r="J4" s="669"/>
      <c r="K4" s="669"/>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669"/>
      <c r="AQ4" s="669"/>
      <c r="AR4" s="669"/>
      <c r="AS4" s="669"/>
      <c r="AT4" s="669"/>
      <c r="AU4" s="669"/>
      <c r="AV4" s="669"/>
      <c r="AW4" s="669"/>
      <c r="AX4" s="669"/>
      <c r="AY4" s="669"/>
      <c r="AZ4" s="669"/>
      <c r="BA4" s="669"/>
      <c r="BB4" s="669"/>
      <c r="BC4" s="669"/>
      <c r="BD4" s="669"/>
      <c r="BE4" s="669"/>
      <c r="BF4" s="669"/>
      <c r="BG4" s="669"/>
      <c r="BH4" s="669"/>
      <c r="BI4" s="669"/>
      <c r="BJ4" s="669"/>
      <c r="BK4" s="669"/>
      <c r="BL4" s="669"/>
      <c r="BM4" s="669"/>
      <c r="BN4" s="669"/>
      <c r="BO4" s="669"/>
      <c r="BP4" s="669"/>
      <c r="BQ4" s="669"/>
      <c r="BR4" s="669"/>
      <c r="BS4" s="669"/>
      <c r="BT4" s="669"/>
      <c r="BU4" s="669"/>
      <c r="BV4" s="669"/>
      <c r="BW4" s="669"/>
      <c r="BX4" s="669"/>
      <c r="BY4" s="669"/>
      <c r="BZ4" s="669"/>
      <c r="CA4" s="669"/>
      <c r="CB4" s="669"/>
      <c r="CC4" s="669"/>
      <c r="CD4" s="669"/>
      <c r="CE4" s="669"/>
      <c r="CF4" s="669"/>
      <c r="CG4" s="669"/>
      <c r="CH4" s="669"/>
      <c r="CI4" s="669"/>
      <c r="CJ4" s="669"/>
      <c r="CK4" s="669"/>
      <c r="CL4" s="669"/>
      <c r="CM4" s="669"/>
      <c r="CN4" s="669"/>
      <c r="CO4" s="669"/>
      <c r="CP4" s="669"/>
      <c r="CQ4" s="669"/>
      <c r="CR4" s="669"/>
      <c r="CS4" s="669"/>
      <c r="CT4" s="669"/>
      <c r="CU4" s="669"/>
      <c r="CV4" s="669"/>
      <c r="CW4" s="669"/>
      <c r="CX4" s="669"/>
      <c r="CY4" s="669"/>
      <c r="CZ4" s="669"/>
      <c r="DA4" s="669"/>
      <c r="DB4" s="669"/>
      <c r="DC4" s="669"/>
      <c r="DD4" s="669"/>
      <c r="DE4" s="669"/>
      <c r="DF4" s="669"/>
    </row>
    <row r="5" spans="1:111" ht="15.75" customHeight="1" x14ac:dyDescent="0.25">
      <c r="A5" s="670" t="s">
        <v>3</v>
      </c>
      <c r="B5" s="670" t="s">
        <v>180</v>
      </c>
      <c r="C5" s="665" t="s">
        <v>1035</v>
      </c>
      <c r="D5" s="665" t="s">
        <v>182</v>
      </c>
      <c r="E5" s="671" t="s">
        <v>1579</v>
      </c>
      <c r="F5" s="671" t="s">
        <v>1580</v>
      </c>
      <c r="G5" s="666" t="s">
        <v>1581</v>
      </c>
      <c r="H5" s="666"/>
      <c r="I5" s="666"/>
      <c r="J5" s="652" t="s">
        <v>1582</v>
      </c>
      <c r="K5" s="652"/>
      <c r="L5" s="652" t="s">
        <v>1583</v>
      </c>
      <c r="M5" s="652"/>
      <c r="N5" s="652" t="s">
        <v>1584</v>
      </c>
      <c r="O5" s="652"/>
      <c r="P5" s="652"/>
      <c r="Q5" s="652"/>
      <c r="R5" s="652" t="s">
        <v>1585</v>
      </c>
      <c r="S5" s="652"/>
      <c r="T5" s="652"/>
      <c r="U5" s="652"/>
      <c r="V5" s="656" t="s">
        <v>1586</v>
      </c>
      <c r="W5" s="656" t="s">
        <v>1587</v>
      </c>
      <c r="X5" s="656" t="s">
        <v>1588</v>
      </c>
      <c r="Y5" s="656" t="s">
        <v>1589</v>
      </c>
      <c r="Z5" s="656" t="s">
        <v>1588</v>
      </c>
      <c r="AA5" s="656" t="s">
        <v>1590</v>
      </c>
      <c r="AB5" s="656" t="s">
        <v>1588</v>
      </c>
      <c r="AC5" s="656" t="s">
        <v>1591</v>
      </c>
      <c r="AD5" s="656" t="s">
        <v>1588</v>
      </c>
      <c r="AE5" s="652" t="s">
        <v>1586</v>
      </c>
      <c r="AF5" s="672" t="s">
        <v>1592</v>
      </c>
      <c r="AG5" s="673"/>
      <c r="AH5" s="673"/>
      <c r="AI5" s="673"/>
      <c r="AJ5" s="673"/>
      <c r="AK5" s="673"/>
      <c r="AL5" s="673"/>
      <c r="AM5" s="673"/>
      <c r="AN5" s="673"/>
      <c r="AO5" s="673"/>
      <c r="AP5" s="673"/>
      <c r="AQ5" s="673"/>
      <c r="AR5" s="673"/>
      <c r="AS5" s="673"/>
      <c r="AT5" s="673"/>
      <c r="AU5" s="673"/>
      <c r="AV5" s="673"/>
      <c r="AW5" s="673"/>
      <c r="AX5" s="673"/>
      <c r="AY5" s="673"/>
      <c r="AZ5" s="673"/>
      <c r="BA5" s="673"/>
      <c r="BB5" s="673"/>
      <c r="BC5" s="673"/>
      <c r="BD5" s="673"/>
      <c r="BE5" s="673"/>
      <c r="BF5" s="673"/>
      <c r="BG5" s="673"/>
      <c r="BH5" s="673"/>
      <c r="BI5" s="674"/>
      <c r="BJ5" s="652" t="s">
        <v>1034</v>
      </c>
      <c r="BK5" s="665" t="s">
        <v>1593</v>
      </c>
      <c r="BL5" s="665" t="s">
        <v>1594</v>
      </c>
      <c r="BM5" s="670" t="s">
        <v>184</v>
      </c>
      <c r="BN5" s="670"/>
      <c r="BO5" s="670"/>
      <c r="BP5" s="652" t="s">
        <v>1595</v>
      </c>
      <c r="BQ5" s="652"/>
      <c r="BR5" s="652"/>
      <c r="BS5" s="652"/>
      <c r="BT5" s="652"/>
      <c r="BU5" s="652" t="s">
        <v>1596</v>
      </c>
      <c r="BV5" s="652"/>
      <c r="BW5" s="652"/>
      <c r="BX5" s="652"/>
      <c r="BY5" s="652"/>
      <c r="BZ5" s="652" t="s">
        <v>1597</v>
      </c>
      <c r="CA5" s="652"/>
      <c r="CB5" s="652"/>
      <c r="CC5" s="652"/>
      <c r="CD5" s="652"/>
      <c r="CE5" s="652" t="s">
        <v>1598</v>
      </c>
      <c r="CF5" s="652"/>
      <c r="CG5" s="652"/>
      <c r="CH5" s="652"/>
      <c r="CI5" s="652"/>
      <c r="CJ5" s="659" t="s">
        <v>1599</v>
      </c>
      <c r="CK5" s="660"/>
      <c r="CL5" s="660"/>
      <c r="CM5" s="660"/>
      <c r="CN5" s="660"/>
      <c r="CO5" s="660"/>
      <c r="CP5" s="660"/>
      <c r="CQ5" s="660"/>
      <c r="CR5" s="660"/>
      <c r="CS5" s="661"/>
      <c r="CT5" s="672" t="s">
        <v>1600</v>
      </c>
      <c r="CU5" s="673"/>
      <c r="CV5" s="673"/>
      <c r="CW5" s="673"/>
      <c r="CX5" s="674"/>
      <c r="CY5" s="652" t="s">
        <v>1601</v>
      </c>
      <c r="CZ5" s="652" t="s">
        <v>129</v>
      </c>
      <c r="DA5" s="652" t="s">
        <v>129</v>
      </c>
      <c r="DB5" s="670" t="s">
        <v>1602</v>
      </c>
      <c r="DC5" s="670" t="s">
        <v>1603</v>
      </c>
      <c r="DD5" s="670" t="s">
        <v>1604</v>
      </c>
      <c r="DE5" s="670" t="s">
        <v>1605</v>
      </c>
      <c r="DF5" s="684" t="s">
        <v>1606</v>
      </c>
    </row>
    <row r="6" spans="1:111" x14ac:dyDescent="0.25">
      <c r="A6" s="670"/>
      <c r="B6" s="670"/>
      <c r="C6" s="665"/>
      <c r="D6" s="665"/>
      <c r="E6" s="671"/>
      <c r="F6" s="671"/>
      <c r="G6" s="666"/>
      <c r="H6" s="666"/>
      <c r="I6" s="666"/>
      <c r="J6" s="652"/>
      <c r="K6" s="652"/>
      <c r="L6" s="652"/>
      <c r="M6" s="652"/>
      <c r="N6" s="652"/>
      <c r="O6" s="652"/>
      <c r="P6" s="652"/>
      <c r="Q6" s="652"/>
      <c r="R6" s="652"/>
      <c r="S6" s="652"/>
      <c r="T6" s="652"/>
      <c r="U6" s="652"/>
      <c r="V6" s="657"/>
      <c r="W6" s="657"/>
      <c r="X6" s="657"/>
      <c r="Y6" s="657"/>
      <c r="Z6" s="657"/>
      <c r="AA6" s="657"/>
      <c r="AB6" s="657"/>
      <c r="AC6" s="657"/>
      <c r="AD6" s="657"/>
      <c r="AE6" s="652"/>
      <c r="AF6" s="675"/>
      <c r="AG6" s="676"/>
      <c r="AH6" s="676"/>
      <c r="AI6" s="676"/>
      <c r="AJ6" s="676"/>
      <c r="AK6" s="676"/>
      <c r="AL6" s="676"/>
      <c r="AM6" s="676"/>
      <c r="AN6" s="676"/>
      <c r="AO6" s="676"/>
      <c r="AP6" s="676"/>
      <c r="AQ6" s="676"/>
      <c r="AR6" s="676"/>
      <c r="AS6" s="676"/>
      <c r="AT6" s="676"/>
      <c r="AU6" s="676"/>
      <c r="AV6" s="676"/>
      <c r="AW6" s="676"/>
      <c r="AX6" s="676"/>
      <c r="AY6" s="676"/>
      <c r="AZ6" s="676"/>
      <c r="BA6" s="676"/>
      <c r="BB6" s="676"/>
      <c r="BC6" s="676"/>
      <c r="BD6" s="676"/>
      <c r="BE6" s="676"/>
      <c r="BF6" s="676"/>
      <c r="BG6" s="676"/>
      <c r="BH6" s="676"/>
      <c r="BI6" s="677"/>
      <c r="BJ6" s="652"/>
      <c r="BK6" s="665"/>
      <c r="BL6" s="665"/>
      <c r="BM6" s="670"/>
      <c r="BN6" s="670"/>
      <c r="BO6" s="670"/>
      <c r="BP6" s="652"/>
      <c r="BQ6" s="652"/>
      <c r="BR6" s="652"/>
      <c r="BS6" s="652"/>
      <c r="BT6" s="652"/>
      <c r="BU6" s="652"/>
      <c r="BV6" s="652"/>
      <c r="BW6" s="652"/>
      <c r="BX6" s="652"/>
      <c r="BY6" s="652"/>
      <c r="BZ6" s="652"/>
      <c r="CA6" s="652"/>
      <c r="CB6" s="652"/>
      <c r="CC6" s="652"/>
      <c r="CD6" s="652"/>
      <c r="CE6" s="652"/>
      <c r="CF6" s="652"/>
      <c r="CG6" s="652"/>
      <c r="CH6" s="652"/>
      <c r="CI6" s="652"/>
      <c r="CJ6" s="662"/>
      <c r="CK6" s="663"/>
      <c r="CL6" s="663"/>
      <c r="CM6" s="663"/>
      <c r="CN6" s="663"/>
      <c r="CO6" s="663"/>
      <c r="CP6" s="663"/>
      <c r="CQ6" s="663"/>
      <c r="CR6" s="663"/>
      <c r="CS6" s="664"/>
      <c r="CT6" s="675"/>
      <c r="CU6" s="676"/>
      <c r="CV6" s="676"/>
      <c r="CW6" s="676"/>
      <c r="CX6" s="677"/>
      <c r="CY6" s="652"/>
      <c r="CZ6" s="652"/>
      <c r="DA6" s="652"/>
      <c r="DB6" s="670"/>
      <c r="DC6" s="670"/>
      <c r="DD6" s="670"/>
      <c r="DE6" s="670"/>
      <c r="DF6" s="684"/>
    </row>
    <row r="7" spans="1:111" ht="31.5" customHeight="1" x14ac:dyDescent="0.25">
      <c r="A7" s="670"/>
      <c r="B7" s="670"/>
      <c r="C7" s="665"/>
      <c r="D7" s="665"/>
      <c r="E7" s="671"/>
      <c r="F7" s="671"/>
      <c r="G7" s="665" t="s">
        <v>1036</v>
      </c>
      <c r="H7" s="652" t="s">
        <v>1607</v>
      </c>
      <c r="I7" s="652"/>
      <c r="J7" s="652" t="s">
        <v>189</v>
      </c>
      <c r="K7" s="652" t="s">
        <v>1608</v>
      </c>
      <c r="L7" s="652" t="s">
        <v>189</v>
      </c>
      <c r="M7" s="652" t="s">
        <v>1608</v>
      </c>
      <c r="N7" s="685" t="s">
        <v>1609</v>
      </c>
      <c r="O7" s="652" t="s">
        <v>1608</v>
      </c>
      <c r="P7" s="652"/>
      <c r="Q7" s="652"/>
      <c r="R7" s="652" t="s">
        <v>1609</v>
      </c>
      <c r="S7" s="652" t="s">
        <v>1610</v>
      </c>
      <c r="T7" s="652"/>
      <c r="U7" s="652"/>
      <c r="V7" s="657"/>
      <c r="W7" s="657"/>
      <c r="X7" s="657"/>
      <c r="Y7" s="657"/>
      <c r="Z7" s="657"/>
      <c r="AA7" s="657"/>
      <c r="AB7" s="657"/>
      <c r="AC7" s="657"/>
      <c r="AD7" s="657"/>
      <c r="AE7" s="652"/>
      <c r="AF7" s="656" t="s">
        <v>1611</v>
      </c>
      <c r="AG7" s="651" t="s">
        <v>189</v>
      </c>
      <c r="AH7" s="652" t="s">
        <v>1612</v>
      </c>
      <c r="AI7" s="652"/>
      <c r="AJ7" s="652"/>
      <c r="AK7" s="652"/>
      <c r="AL7" s="652" t="s">
        <v>189</v>
      </c>
      <c r="AM7" s="652" t="s">
        <v>1613</v>
      </c>
      <c r="AN7" s="652"/>
      <c r="AO7" s="652"/>
      <c r="AP7" s="652" t="s">
        <v>189</v>
      </c>
      <c r="AQ7" s="652" t="s">
        <v>1614</v>
      </c>
      <c r="AR7" s="652"/>
      <c r="AS7" s="652"/>
      <c r="AT7" s="652"/>
      <c r="AU7" s="652" t="s">
        <v>189</v>
      </c>
      <c r="AV7" s="652" t="s">
        <v>1615</v>
      </c>
      <c r="AW7" s="652"/>
      <c r="AX7" s="652"/>
      <c r="AY7" s="652"/>
      <c r="AZ7" s="652"/>
      <c r="BA7" s="656" t="s">
        <v>1616</v>
      </c>
      <c r="BB7" s="652" t="s">
        <v>189</v>
      </c>
      <c r="BC7" s="652" t="s">
        <v>217</v>
      </c>
      <c r="BD7" s="652"/>
      <c r="BE7" s="652" t="s">
        <v>1617</v>
      </c>
      <c r="BF7" s="652" t="s">
        <v>189</v>
      </c>
      <c r="BG7" s="652" t="s">
        <v>1618</v>
      </c>
      <c r="BH7" s="652"/>
      <c r="BI7" s="652"/>
      <c r="BJ7" s="652"/>
      <c r="BK7" s="665"/>
      <c r="BL7" s="665"/>
      <c r="BM7" s="665" t="s">
        <v>1036</v>
      </c>
      <c r="BN7" s="652" t="s">
        <v>1607</v>
      </c>
      <c r="BO7" s="652"/>
      <c r="BP7" s="651" t="s">
        <v>1609</v>
      </c>
      <c r="BQ7" s="652" t="s">
        <v>1612</v>
      </c>
      <c r="BR7" s="652"/>
      <c r="BS7" s="652"/>
      <c r="BT7" s="652"/>
      <c r="BU7" s="651" t="s">
        <v>1609</v>
      </c>
      <c r="BV7" s="652" t="s">
        <v>1612</v>
      </c>
      <c r="BW7" s="652"/>
      <c r="BX7" s="652"/>
      <c r="BY7" s="652"/>
      <c r="BZ7" s="651" t="s">
        <v>1609</v>
      </c>
      <c r="CA7" s="652" t="s">
        <v>1612</v>
      </c>
      <c r="CB7" s="652"/>
      <c r="CC7" s="652"/>
      <c r="CD7" s="652"/>
      <c r="CE7" s="651" t="s">
        <v>1609</v>
      </c>
      <c r="CF7" s="652" t="s">
        <v>1612</v>
      </c>
      <c r="CG7" s="652"/>
      <c r="CH7" s="652"/>
      <c r="CI7" s="652"/>
      <c r="CJ7" s="670" t="s">
        <v>1609</v>
      </c>
      <c r="CK7" s="653" t="s">
        <v>1612</v>
      </c>
      <c r="CL7" s="654"/>
      <c r="CM7" s="654"/>
      <c r="CN7" s="655"/>
      <c r="CO7" s="652" t="s">
        <v>1615</v>
      </c>
      <c r="CP7" s="652"/>
      <c r="CQ7" s="652"/>
      <c r="CR7" s="652"/>
      <c r="CS7" s="652"/>
      <c r="CT7" s="651" t="s">
        <v>1609</v>
      </c>
      <c r="CU7" s="679" t="s">
        <v>1612</v>
      </c>
      <c r="CV7" s="680"/>
      <c r="CW7" s="680"/>
      <c r="CX7" s="681"/>
      <c r="CY7" s="652"/>
      <c r="CZ7" s="652"/>
      <c r="DA7" s="652"/>
      <c r="DB7" s="670"/>
      <c r="DC7" s="670"/>
      <c r="DD7" s="670"/>
      <c r="DE7" s="670"/>
      <c r="DF7" s="684"/>
    </row>
    <row r="8" spans="1:111" x14ac:dyDescent="0.25">
      <c r="A8" s="670"/>
      <c r="B8" s="670"/>
      <c r="C8" s="665"/>
      <c r="D8" s="665"/>
      <c r="E8" s="671"/>
      <c r="F8" s="671"/>
      <c r="G8" s="665"/>
      <c r="H8" s="652" t="s">
        <v>189</v>
      </c>
      <c r="I8" s="652" t="s">
        <v>1608</v>
      </c>
      <c r="J8" s="652"/>
      <c r="K8" s="652"/>
      <c r="L8" s="652"/>
      <c r="M8" s="652"/>
      <c r="N8" s="685"/>
      <c r="O8" s="685" t="s">
        <v>130</v>
      </c>
      <c r="P8" s="686" t="s">
        <v>1612</v>
      </c>
      <c r="Q8" s="686"/>
      <c r="R8" s="652"/>
      <c r="S8" s="652" t="s">
        <v>130</v>
      </c>
      <c r="T8" s="686" t="s">
        <v>1612</v>
      </c>
      <c r="U8" s="686"/>
      <c r="V8" s="657"/>
      <c r="W8" s="657"/>
      <c r="X8" s="657"/>
      <c r="Y8" s="657"/>
      <c r="Z8" s="657"/>
      <c r="AA8" s="657"/>
      <c r="AB8" s="657"/>
      <c r="AC8" s="657"/>
      <c r="AD8" s="657"/>
      <c r="AE8" s="652"/>
      <c r="AF8" s="657"/>
      <c r="AG8" s="651"/>
      <c r="AH8" s="651" t="s">
        <v>1619</v>
      </c>
      <c r="AI8" s="651" t="s">
        <v>1040</v>
      </c>
      <c r="AJ8" s="651" t="s">
        <v>1620</v>
      </c>
      <c r="AK8" s="651" t="s">
        <v>1621</v>
      </c>
      <c r="AL8" s="652"/>
      <c r="AM8" s="651" t="s">
        <v>1622</v>
      </c>
      <c r="AN8" s="651" t="s">
        <v>1623</v>
      </c>
      <c r="AO8" s="651" t="s">
        <v>1624</v>
      </c>
      <c r="AP8" s="652"/>
      <c r="AQ8" s="652" t="s">
        <v>1625</v>
      </c>
      <c r="AR8" s="651" t="s">
        <v>1626</v>
      </c>
      <c r="AS8" s="651" t="s">
        <v>1627</v>
      </c>
      <c r="AT8" s="651" t="s">
        <v>1628</v>
      </c>
      <c r="AU8" s="652"/>
      <c r="AV8" s="652" t="s">
        <v>1629</v>
      </c>
      <c r="AW8" s="652" t="s">
        <v>1630</v>
      </c>
      <c r="AX8" s="651" t="s">
        <v>1631</v>
      </c>
      <c r="AY8" s="651" t="s">
        <v>1632</v>
      </c>
      <c r="AZ8" s="651" t="s">
        <v>1633</v>
      </c>
      <c r="BA8" s="657"/>
      <c r="BB8" s="652"/>
      <c r="BC8" s="651" t="s">
        <v>134</v>
      </c>
      <c r="BD8" s="651"/>
      <c r="BE8" s="652"/>
      <c r="BF8" s="652"/>
      <c r="BG8" s="651" t="s">
        <v>134</v>
      </c>
      <c r="BH8" s="651"/>
      <c r="BI8" s="651"/>
      <c r="BJ8" s="652"/>
      <c r="BK8" s="665"/>
      <c r="BL8" s="665"/>
      <c r="BM8" s="665"/>
      <c r="BN8" s="652" t="s">
        <v>189</v>
      </c>
      <c r="BO8" s="652" t="s">
        <v>1608</v>
      </c>
      <c r="BP8" s="651"/>
      <c r="BQ8" s="651" t="s">
        <v>1619</v>
      </c>
      <c r="BR8" s="651" t="s">
        <v>1040</v>
      </c>
      <c r="BS8" s="651" t="s">
        <v>1620</v>
      </c>
      <c r="BT8" s="651" t="s">
        <v>1621</v>
      </c>
      <c r="BU8" s="651"/>
      <c r="BV8" s="651" t="s">
        <v>1619</v>
      </c>
      <c r="BW8" s="651" t="s">
        <v>1040</v>
      </c>
      <c r="BX8" s="651" t="s">
        <v>1620</v>
      </c>
      <c r="BY8" s="651" t="s">
        <v>1621</v>
      </c>
      <c r="BZ8" s="651"/>
      <c r="CA8" s="651" t="s">
        <v>1619</v>
      </c>
      <c r="CB8" s="651" t="s">
        <v>1040</v>
      </c>
      <c r="CC8" s="651" t="s">
        <v>1620</v>
      </c>
      <c r="CD8" s="651" t="s">
        <v>1621</v>
      </c>
      <c r="CE8" s="651"/>
      <c r="CF8" s="651" t="s">
        <v>1619</v>
      </c>
      <c r="CG8" s="651" t="s">
        <v>1040</v>
      </c>
      <c r="CH8" s="651" t="s">
        <v>1620</v>
      </c>
      <c r="CI8" s="651" t="s">
        <v>1621</v>
      </c>
      <c r="CJ8" s="670"/>
      <c r="CK8" s="678" t="s">
        <v>1619</v>
      </c>
      <c r="CL8" s="678" t="s">
        <v>1040</v>
      </c>
      <c r="CM8" s="678" t="s">
        <v>1620</v>
      </c>
      <c r="CN8" s="678" t="s">
        <v>1621</v>
      </c>
      <c r="CO8" s="683" t="s">
        <v>1629</v>
      </c>
      <c r="CP8" s="683" t="s">
        <v>1630</v>
      </c>
      <c r="CQ8" s="682" t="s">
        <v>1631</v>
      </c>
      <c r="CR8" s="682" t="s">
        <v>1632</v>
      </c>
      <c r="CS8" s="682" t="s">
        <v>1633</v>
      </c>
      <c r="CT8" s="651"/>
      <c r="CU8" s="682" t="s">
        <v>1038</v>
      </c>
      <c r="CV8" s="682" t="s">
        <v>1040</v>
      </c>
      <c r="CW8" s="682" t="s">
        <v>1039</v>
      </c>
      <c r="CX8" s="678" t="s">
        <v>1621</v>
      </c>
      <c r="CY8" s="652"/>
      <c r="CZ8" s="652"/>
      <c r="DA8" s="652"/>
      <c r="DB8" s="670"/>
      <c r="DC8" s="670"/>
      <c r="DD8" s="670"/>
      <c r="DE8" s="670"/>
      <c r="DF8" s="684"/>
    </row>
    <row r="9" spans="1:111" x14ac:dyDescent="0.25">
      <c r="A9" s="670"/>
      <c r="B9" s="670"/>
      <c r="C9" s="665"/>
      <c r="D9" s="665"/>
      <c r="E9" s="671"/>
      <c r="F9" s="671"/>
      <c r="G9" s="665"/>
      <c r="H9" s="652"/>
      <c r="I9" s="652"/>
      <c r="J9" s="652"/>
      <c r="K9" s="652"/>
      <c r="L9" s="652"/>
      <c r="M9" s="652"/>
      <c r="N9" s="685"/>
      <c r="O9" s="685"/>
      <c r="P9" s="685" t="s">
        <v>1634</v>
      </c>
      <c r="Q9" s="652" t="s">
        <v>1635</v>
      </c>
      <c r="R9" s="652"/>
      <c r="S9" s="652"/>
      <c r="T9" s="652" t="s">
        <v>1634</v>
      </c>
      <c r="U9" s="652" t="s">
        <v>1635</v>
      </c>
      <c r="V9" s="657"/>
      <c r="W9" s="657"/>
      <c r="X9" s="657"/>
      <c r="Y9" s="657"/>
      <c r="Z9" s="657"/>
      <c r="AA9" s="657"/>
      <c r="AB9" s="657"/>
      <c r="AC9" s="657"/>
      <c r="AD9" s="657"/>
      <c r="AE9" s="652"/>
      <c r="AF9" s="657"/>
      <c r="AG9" s="651"/>
      <c r="AH9" s="651"/>
      <c r="AI9" s="651"/>
      <c r="AJ9" s="651"/>
      <c r="AK9" s="651"/>
      <c r="AL9" s="652"/>
      <c r="AM9" s="651"/>
      <c r="AN9" s="651"/>
      <c r="AO9" s="651"/>
      <c r="AP9" s="652"/>
      <c r="AQ9" s="652"/>
      <c r="AR9" s="651"/>
      <c r="AS9" s="651"/>
      <c r="AT9" s="651"/>
      <c r="AU9" s="652"/>
      <c r="AV9" s="652"/>
      <c r="AW9" s="652"/>
      <c r="AX9" s="651"/>
      <c r="AY9" s="651"/>
      <c r="AZ9" s="651"/>
      <c r="BA9" s="657"/>
      <c r="BB9" s="652"/>
      <c r="BC9" s="651" t="s">
        <v>135</v>
      </c>
      <c r="BD9" s="651" t="s">
        <v>136</v>
      </c>
      <c r="BE9" s="652"/>
      <c r="BF9" s="652"/>
      <c r="BG9" s="651" t="s">
        <v>1636</v>
      </c>
      <c r="BH9" s="651" t="s">
        <v>1637</v>
      </c>
      <c r="BI9" s="651" t="s">
        <v>1638</v>
      </c>
      <c r="BJ9" s="652"/>
      <c r="BK9" s="665"/>
      <c r="BL9" s="665"/>
      <c r="BM9" s="665"/>
      <c r="BN9" s="652"/>
      <c r="BO9" s="652"/>
      <c r="BP9" s="651"/>
      <c r="BQ9" s="651"/>
      <c r="BR9" s="651"/>
      <c r="BS9" s="651"/>
      <c r="BT9" s="651"/>
      <c r="BU9" s="651"/>
      <c r="BV9" s="651"/>
      <c r="BW9" s="651"/>
      <c r="BX9" s="651"/>
      <c r="BY9" s="651"/>
      <c r="BZ9" s="651"/>
      <c r="CA9" s="651"/>
      <c r="CB9" s="651"/>
      <c r="CC9" s="651"/>
      <c r="CD9" s="651"/>
      <c r="CE9" s="651"/>
      <c r="CF9" s="651"/>
      <c r="CG9" s="651"/>
      <c r="CH9" s="651"/>
      <c r="CI9" s="651"/>
      <c r="CJ9" s="670"/>
      <c r="CK9" s="678"/>
      <c r="CL9" s="678"/>
      <c r="CM9" s="678"/>
      <c r="CN9" s="678"/>
      <c r="CO9" s="683"/>
      <c r="CP9" s="683"/>
      <c r="CQ9" s="682"/>
      <c r="CR9" s="682"/>
      <c r="CS9" s="682"/>
      <c r="CT9" s="651"/>
      <c r="CU9" s="682"/>
      <c r="CV9" s="682"/>
      <c r="CW9" s="682"/>
      <c r="CX9" s="678"/>
      <c r="CY9" s="652"/>
      <c r="CZ9" s="652"/>
      <c r="DA9" s="652"/>
      <c r="DB9" s="670"/>
      <c r="DC9" s="670"/>
      <c r="DD9" s="670"/>
      <c r="DE9" s="670"/>
      <c r="DF9" s="684"/>
      <c r="DG9" s="225"/>
    </row>
    <row r="10" spans="1:111" ht="22.5" customHeight="1" x14ac:dyDescent="0.25">
      <c r="A10" s="670"/>
      <c r="B10" s="670"/>
      <c r="C10" s="665"/>
      <c r="D10" s="665"/>
      <c r="E10" s="671"/>
      <c r="F10" s="671"/>
      <c r="G10" s="665"/>
      <c r="H10" s="652"/>
      <c r="I10" s="652"/>
      <c r="J10" s="652"/>
      <c r="K10" s="652"/>
      <c r="L10" s="652"/>
      <c r="M10" s="652"/>
      <c r="N10" s="685"/>
      <c r="O10" s="685"/>
      <c r="P10" s="685"/>
      <c r="Q10" s="652"/>
      <c r="R10" s="652"/>
      <c r="S10" s="652"/>
      <c r="T10" s="652"/>
      <c r="U10" s="652"/>
      <c r="V10" s="658"/>
      <c r="W10" s="658"/>
      <c r="X10" s="658"/>
      <c r="Y10" s="658"/>
      <c r="Z10" s="658"/>
      <c r="AA10" s="658"/>
      <c r="AB10" s="658"/>
      <c r="AC10" s="658"/>
      <c r="AD10" s="658"/>
      <c r="AE10" s="652"/>
      <c r="AF10" s="658"/>
      <c r="AG10" s="651"/>
      <c r="AH10" s="651"/>
      <c r="AI10" s="651"/>
      <c r="AJ10" s="651"/>
      <c r="AK10" s="651"/>
      <c r="AL10" s="652"/>
      <c r="AM10" s="651"/>
      <c r="AN10" s="651"/>
      <c r="AO10" s="651"/>
      <c r="AP10" s="652"/>
      <c r="AQ10" s="652"/>
      <c r="AR10" s="651"/>
      <c r="AS10" s="651"/>
      <c r="AT10" s="651"/>
      <c r="AU10" s="652"/>
      <c r="AV10" s="652"/>
      <c r="AW10" s="652"/>
      <c r="AX10" s="651"/>
      <c r="AY10" s="651"/>
      <c r="AZ10" s="651"/>
      <c r="BA10" s="658"/>
      <c r="BB10" s="652"/>
      <c r="BC10" s="651"/>
      <c r="BD10" s="651"/>
      <c r="BE10" s="652"/>
      <c r="BF10" s="652"/>
      <c r="BG10" s="651"/>
      <c r="BH10" s="651"/>
      <c r="BI10" s="651"/>
      <c r="BJ10" s="652"/>
      <c r="BK10" s="665"/>
      <c r="BL10" s="665"/>
      <c r="BM10" s="665"/>
      <c r="BN10" s="652"/>
      <c r="BO10" s="652"/>
      <c r="BP10" s="651"/>
      <c r="BQ10" s="651"/>
      <c r="BR10" s="651"/>
      <c r="BS10" s="651"/>
      <c r="BT10" s="651"/>
      <c r="BU10" s="651"/>
      <c r="BV10" s="651"/>
      <c r="BW10" s="651"/>
      <c r="BX10" s="651"/>
      <c r="BY10" s="651"/>
      <c r="BZ10" s="651"/>
      <c r="CA10" s="651"/>
      <c r="CB10" s="651"/>
      <c r="CC10" s="651"/>
      <c r="CD10" s="651"/>
      <c r="CE10" s="651"/>
      <c r="CF10" s="651"/>
      <c r="CG10" s="651"/>
      <c r="CH10" s="651"/>
      <c r="CI10" s="651"/>
      <c r="CJ10" s="670"/>
      <c r="CK10" s="678"/>
      <c r="CL10" s="678"/>
      <c r="CM10" s="678"/>
      <c r="CN10" s="678"/>
      <c r="CO10" s="683"/>
      <c r="CP10" s="683"/>
      <c r="CQ10" s="682"/>
      <c r="CR10" s="682"/>
      <c r="CS10" s="682"/>
      <c r="CT10" s="651"/>
      <c r="CU10" s="682"/>
      <c r="CV10" s="682"/>
      <c r="CW10" s="682"/>
      <c r="CX10" s="678"/>
      <c r="CY10" s="652"/>
      <c r="CZ10" s="652"/>
      <c r="DA10" s="652"/>
      <c r="DB10" s="670"/>
      <c r="DC10" s="670"/>
      <c r="DD10" s="670"/>
      <c r="DE10" s="670"/>
      <c r="DF10" s="684"/>
      <c r="DG10" s="225"/>
    </row>
    <row r="11" spans="1:111" s="233" customFormat="1" ht="28.5" hidden="1" customHeight="1" x14ac:dyDescent="0.25">
      <c r="A11" s="226"/>
      <c r="B11" s="226"/>
      <c r="C11" s="227"/>
      <c r="D11" s="227"/>
      <c r="E11" s="228"/>
      <c r="F11" s="228"/>
      <c r="G11" s="227"/>
      <c r="H11" s="229"/>
      <c r="I11" s="229"/>
      <c r="J11" s="229"/>
      <c r="K11" s="229"/>
      <c r="L11" s="229"/>
      <c r="M11" s="229"/>
      <c r="N11" s="229"/>
      <c r="O11" s="229"/>
      <c r="P11" s="229"/>
      <c r="Q11" s="229"/>
      <c r="R11" s="229"/>
      <c r="S11" s="229"/>
      <c r="T11" s="229"/>
      <c r="U11" s="229"/>
      <c r="V11" s="229"/>
      <c r="W11" s="226">
        <v>0</v>
      </c>
      <c r="X11" s="226">
        <v>0</v>
      </c>
      <c r="Y11" s="226">
        <v>42872</v>
      </c>
      <c r="Z11" s="226">
        <v>42872</v>
      </c>
      <c r="AA11" s="226">
        <v>3466000</v>
      </c>
      <c r="AB11" s="226">
        <v>3508872</v>
      </c>
      <c r="AC11" s="226" t="e">
        <f t="shared" ref="AC11:CN11" si="0">AC13-AC12</f>
        <v>#REF!</v>
      </c>
      <c r="AD11" s="230" t="e">
        <f t="shared" si="0"/>
        <v>#REF!</v>
      </c>
      <c r="AE11" s="230" t="e">
        <f t="shared" si="0"/>
        <v>#REF!</v>
      </c>
      <c r="AF11" s="230"/>
      <c r="AG11" s="230" t="e">
        <f t="shared" si="0"/>
        <v>#REF!</v>
      </c>
      <c r="AH11" s="230" t="e">
        <f t="shared" si="0"/>
        <v>#REF!</v>
      </c>
      <c r="AI11" s="230" t="e">
        <f t="shared" si="0"/>
        <v>#REF!</v>
      </c>
      <c r="AJ11" s="230" t="e">
        <f t="shared" si="0"/>
        <v>#REF!</v>
      </c>
      <c r="AK11" s="230" t="e">
        <f t="shared" si="0"/>
        <v>#REF!</v>
      </c>
      <c r="AL11" s="230" t="e">
        <f t="shared" si="0"/>
        <v>#REF!</v>
      </c>
      <c r="AM11" s="230" t="e">
        <f t="shared" si="0"/>
        <v>#REF!</v>
      </c>
      <c r="AN11" s="230" t="e">
        <f t="shared" si="0"/>
        <v>#REF!</v>
      </c>
      <c r="AO11" s="230" t="e">
        <f t="shared" si="0"/>
        <v>#REF!</v>
      </c>
      <c r="AP11" s="230" t="e">
        <f t="shared" si="0"/>
        <v>#REF!</v>
      </c>
      <c r="AQ11" s="230" t="e">
        <f t="shared" si="0"/>
        <v>#REF!</v>
      </c>
      <c r="AR11" s="230" t="e">
        <f t="shared" si="0"/>
        <v>#REF!</v>
      </c>
      <c r="AS11" s="230" t="e">
        <f t="shared" si="0"/>
        <v>#REF!</v>
      </c>
      <c r="AT11" s="230" t="e">
        <f t="shared" si="0"/>
        <v>#REF!</v>
      </c>
      <c r="AU11" s="230" t="e">
        <f t="shared" si="0"/>
        <v>#REF!</v>
      </c>
      <c r="AV11" s="230" t="e">
        <f t="shared" si="0"/>
        <v>#REF!</v>
      </c>
      <c r="AW11" s="230" t="e">
        <f t="shared" si="0"/>
        <v>#REF!</v>
      </c>
      <c r="AX11" s="230" t="e">
        <f t="shared" si="0"/>
        <v>#REF!</v>
      </c>
      <c r="AY11" s="230" t="e">
        <f t="shared" si="0"/>
        <v>#REF!</v>
      </c>
      <c r="AZ11" s="230" t="e">
        <f t="shared" si="0"/>
        <v>#REF!</v>
      </c>
      <c r="BA11" s="230" t="e">
        <f t="shared" si="0"/>
        <v>#REF!</v>
      </c>
      <c r="BB11" s="230" t="e">
        <f t="shared" si="0"/>
        <v>#REF!</v>
      </c>
      <c r="BC11" s="230" t="e">
        <f t="shared" si="0"/>
        <v>#REF!</v>
      </c>
      <c r="BD11" s="230" t="e">
        <f t="shared" si="0"/>
        <v>#REF!</v>
      </c>
      <c r="BE11" s="230" t="e">
        <f t="shared" si="0"/>
        <v>#REF!</v>
      </c>
      <c r="BF11" s="230" t="e">
        <f t="shared" si="0"/>
        <v>#REF!</v>
      </c>
      <c r="BG11" s="230" t="e">
        <f t="shared" si="0"/>
        <v>#REF!</v>
      </c>
      <c r="BH11" s="230" t="e">
        <f t="shared" si="0"/>
        <v>#REF!</v>
      </c>
      <c r="BI11" s="230" t="e">
        <f t="shared" si="0"/>
        <v>#REF!</v>
      </c>
      <c r="BJ11" s="226"/>
      <c r="BK11" s="227"/>
      <c r="BL11" s="227"/>
      <c r="BM11" s="227"/>
      <c r="BN11" s="226"/>
      <c r="BO11" s="226"/>
      <c r="BP11" s="226">
        <f t="shared" si="0"/>
        <v>-1684679.8229999999</v>
      </c>
      <c r="BQ11" s="226">
        <f t="shared" si="0"/>
        <v>-557679.82299999997</v>
      </c>
      <c r="BR11" s="226">
        <f t="shared" si="0"/>
        <v>-200000</v>
      </c>
      <c r="BS11" s="226">
        <f t="shared" si="0"/>
        <v>-880000</v>
      </c>
      <c r="BT11" s="226">
        <f t="shared" si="0"/>
        <v>-47000</v>
      </c>
      <c r="BU11" s="226">
        <f t="shared" si="0"/>
        <v>-1658689.1063410002</v>
      </c>
      <c r="BV11" s="226">
        <f t="shared" si="0"/>
        <v>-548698.80016300001</v>
      </c>
      <c r="BW11" s="226">
        <f t="shared" si="0"/>
        <v>-200000</v>
      </c>
      <c r="BX11" s="226">
        <f t="shared" si="0"/>
        <v>-868097.75917800004</v>
      </c>
      <c r="BY11" s="226">
        <f t="shared" si="0"/>
        <v>-41890</v>
      </c>
      <c r="BZ11" s="226">
        <f t="shared" si="0"/>
        <v>-1782418</v>
      </c>
      <c r="CA11" s="226">
        <f t="shared" si="0"/>
        <v>-537718</v>
      </c>
      <c r="CB11" s="226">
        <f t="shared" si="0"/>
        <v>-200000</v>
      </c>
      <c r="CC11" s="226">
        <f t="shared" si="0"/>
        <v>-980000</v>
      </c>
      <c r="CD11" s="226">
        <f t="shared" si="0"/>
        <v>-64700</v>
      </c>
      <c r="CE11" s="226">
        <f t="shared" si="0"/>
        <v>-1765606.2548329998</v>
      </c>
      <c r="CF11" s="226">
        <f t="shared" si="0"/>
        <v>-530868.3110799999</v>
      </c>
      <c r="CG11" s="226">
        <f t="shared" si="0"/>
        <v>-196255.99300000002</v>
      </c>
      <c r="CH11" s="226">
        <f t="shared" si="0"/>
        <v>-975156.9507530001</v>
      </c>
      <c r="CI11" s="226">
        <f t="shared" si="0"/>
        <v>-63325</v>
      </c>
      <c r="CJ11" s="226">
        <f>CJ13-CJ12</f>
        <v>-2098294.1770000001</v>
      </c>
      <c r="CK11" s="226">
        <f t="shared" si="0"/>
        <v>-565584.17700000003</v>
      </c>
      <c r="CL11" s="226">
        <f t="shared" si="0"/>
        <v>-350000</v>
      </c>
      <c r="CM11" s="226">
        <f t="shared" si="0"/>
        <v>-1099900</v>
      </c>
      <c r="CN11" s="226">
        <f t="shared" si="0"/>
        <v>-90600</v>
      </c>
      <c r="CO11" s="226">
        <f t="shared" ref="CO11:CY11" si="1">CO13-CO12</f>
        <v>-26708</v>
      </c>
      <c r="CP11" s="226">
        <f t="shared" si="1"/>
        <v>-152559</v>
      </c>
      <c r="CQ11" s="226">
        <f t="shared" si="1"/>
        <v>-480641</v>
      </c>
      <c r="CR11" s="226">
        <f t="shared" si="1"/>
        <v>-93000</v>
      </c>
      <c r="CS11" s="226">
        <f t="shared" si="1"/>
        <v>-200000</v>
      </c>
      <c r="CT11" s="230">
        <f>SUM(CU11:CX11)</f>
        <v>-2707536</v>
      </c>
      <c r="CU11" s="230">
        <f>CU13-CU12</f>
        <v>-558279</v>
      </c>
      <c r="CV11" s="230">
        <f t="shared" si="1"/>
        <v>-730000</v>
      </c>
      <c r="CW11" s="230">
        <f t="shared" si="1"/>
        <v>-1409857</v>
      </c>
      <c r="CX11" s="230">
        <f t="shared" si="1"/>
        <v>-9400</v>
      </c>
      <c r="CY11" s="226" t="e">
        <f t="shared" si="1"/>
        <v>#REF!</v>
      </c>
      <c r="CZ11" s="229"/>
      <c r="DA11" s="229"/>
      <c r="DB11" s="226"/>
      <c r="DC11" s="226"/>
      <c r="DD11" s="226"/>
      <c r="DE11" s="226"/>
      <c r="DF11" s="231"/>
      <c r="DG11" s="232"/>
    </row>
    <row r="12" spans="1:111" s="240" customFormat="1" ht="25.5" hidden="1" customHeight="1" x14ac:dyDescent="0.25">
      <c r="A12" s="231"/>
      <c r="B12" s="231"/>
      <c r="C12" s="234"/>
      <c r="D12" s="234"/>
      <c r="E12" s="235"/>
      <c r="F12" s="235"/>
      <c r="G12" s="235"/>
      <c r="H12" s="236">
        <v>30657306.125344999</v>
      </c>
      <c r="I12" s="236">
        <v>10651692.326843999</v>
      </c>
      <c r="J12" s="236">
        <v>1090685.9576829998</v>
      </c>
      <c r="K12" s="236">
        <v>781934.02599999995</v>
      </c>
      <c r="L12" s="236">
        <v>954380.38020000001</v>
      </c>
      <c r="M12" s="236">
        <v>699321.13119999995</v>
      </c>
      <c r="N12" s="236">
        <v>1149976.5559999999</v>
      </c>
      <c r="O12" s="236">
        <v>1149976.8160000001</v>
      </c>
      <c r="P12" s="236">
        <v>13500</v>
      </c>
      <c r="Q12" s="236">
        <v>97725</v>
      </c>
      <c r="R12" s="236">
        <v>6553815.3420000002</v>
      </c>
      <c r="S12" s="236">
        <v>6598815.602</v>
      </c>
      <c r="T12" s="236">
        <v>31426</v>
      </c>
      <c r="U12" s="236">
        <v>212688.997</v>
      </c>
      <c r="V12" s="236">
        <v>17763946</v>
      </c>
      <c r="W12" s="236">
        <v>0</v>
      </c>
      <c r="X12" s="236">
        <v>17763946</v>
      </c>
      <c r="Y12" s="236">
        <v>0</v>
      </c>
      <c r="Z12" s="236">
        <v>17763946</v>
      </c>
      <c r="AA12" s="236">
        <v>0</v>
      </c>
      <c r="AB12" s="236">
        <v>17763946</v>
      </c>
      <c r="AC12" s="236">
        <v>0</v>
      </c>
      <c r="AD12" s="236">
        <v>17763946</v>
      </c>
      <c r="AE12" s="236">
        <v>17763946</v>
      </c>
      <c r="AF12" s="236">
        <f t="shared" ref="AF12:AF17" si="2">AG12+AL12+AP12+AU12+BA12</f>
        <v>10237877</v>
      </c>
      <c r="AG12" s="236">
        <v>8956300</v>
      </c>
      <c r="AH12" s="236">
        <v>3154957</v>
      </c>
      <c r="AI12" s="236">
        <v>250000</v>
      </c>
      <c r="AJ12" s="236">
        <v>5439643</v>
      </c>
      <c r="AK12" s="236">
        <v>111700</v>
      </c>
      <c r="AL12" s="236">
        <v>159144</v>
      </c>
      <c r="AM12" s="236">
        <v>109336</v>
      </c>
      <c r="AN12" s="236">
        <v>47863</v>
      </c>
      <c r="AO12" s="236">
        <v>1945</v>
      </c>
      <c r="AP12" s="236">
        <v>161735</v>
      </c>
      <c r="AQ12" s="236">
        <v>13762</v>
      </c>
      <c r="AR12" s="236">
        <v>132054</v>
      </c>
      <c r="AS12" s="236">
        <v>8273</v>
      </c>
      <c r="AT12" s="236">
        <v>7646</v>
      </c>
      <c r="AU12" s="236">
        <v>960698</v>
      </c>
      <c r="AV12" s="236">
        <v>26708</v>
      </c>
      <c r="AW12" s="236">
        <v>153349</v>
      </c>
      <c r="AX12" s="236">
        <v>480641</v>
      </c>
      <c r="AY12" s="236">
        <v>100000</v>
      </c>
      <c r="AZ12" s="236">
        <v>200000</v>
      </c>
      <c r="BA12" s="236"/>
      <c r="BB12" s="236">
        <v>5929147</v>
      </c>
      <c r="BC12" s="236">
        <v>5332147</v>
      </c>
      <c r="BD12" s="236">
        <v>597000</v>
      </c>
      <c r="BE12" s="236">
        <v>1217000</v>
      </c>
      <c r="BF12" s="236">
        <v>379922</v>
      </c>
      <c r="BG12" s="236">
        <v>49248</v>
      </c>
      <c r="BH12" s="236">
        <v>9754</v>
      </c>
      <c r="BI12" s="236">
        <v>320920</v>
      </c>
      <c r="BJ12" s="236"/>
      <c r="BK12" s="237"/>
      <c r="BL12" s="237"/>
      <c r="BM12" s="237"/>
      <c r="BN12" s="236">
        <v>22476271.751999997</v>
      </c>
      <c r="BO12" s="236">
        <v>9058123.2660000008</v>
      </c>
      <c r="BP12" s="236">
        <v>1686679.8229999999</v>
      </c>
      <c r="BQ12" s="236">
        <v>559679.82299999997</v>
      </c>
      <c r="BR12" s="236">
        <v>200000</v>
      </c>
      <c r="BS12" s="236">
        <v>880000</v>
      </c>
      <c r="BT12" s="236">
        <v>47000</v>
      </c>
      <c r="BU12" s="236">
        <v>1660689.1063410002</v>
      </c>
      <c r="BV12" s="236">
        <v>550698.80016300001</v>
      </c>
      <c r="BW12" s="236">
        <v>200000</v>
      </c>
      <c r="BX12" s="236">
        <v>868097.75917800004</v>
      </c>
      <c r="BY12" s="236">
        <v>41890</v>
      </c>
      <c r="BZ12" s="236">
        <v>1804380</v>
      </c>
      <c r="CA12" s="236">
        <v>559680</v>
      </c>
      <c r="CB12" s="236">
        <v>200000</v>
      </c>
      <c r="CC12" s="236">
        <v>980000</v>
      </c>
      <c r="CD12" s="236">
        <v>64700</v>
      </c>
      <c r="CE12" s="236">
        <v>1787568.2548329998</v>
      </c>
      <c r="CF12" s="236">
        <v>552830.3110799999</v>
      </c>
      <c r="CG12" s="236">
        <v>196255.99300000002</v>
      </c>
      <c r="CH12" s="236">
        <v>975156.9507530001</v>
      </c>
      <c r="CI12" s="236">
        <v>63325</v>
      </c>
      <c r="CJ12" s="238">
        <v>2128824.1770000001</v>
      </c>
      <c r="CK12" s="238">
        <v>588224.17700000003</v>
      </c>
      <c r="CL12" s="238">
        <v>350000</v>
      </c>
      <c r="CM12" s="238">
        <v>1100000</v>
      </c>
      <c r="CN12" s="238">
        <v>90600</v>
      </c>
      <c r="CO12" s="236">
        <v>26708</v>
      </c>
      <c r="CP12" s="236">
        <v>153349</v>
      </c>
      <c r="CQ12" s="236">
        <v>480641</v>
      </c>
      <c r="CR12" s="236">
        <v>100000</v>
      </c>
      <c r="CS12" s="236">
        <v>200000</v>
      </c>
      <c r="CT12" s="236">
        <f>SUM(CU12:CX12)</f>
        <v>2750924</v>
      </c>
      <c r="CU12" s="236">
        <v>581524</v>
      </c>
      <c r="CV12" s="236">
        <v>730000</v>
      </c>
      <c r="CW12" s="236">
        <v>1430000</v>
      </c>
      <c r="CX12" s="238">
        <v>9400</v>
      </c>
      <c r="CY12" s="236">
        <v>524613</v>
      </c>
      <c r="CZ12" s="239"/>
      <c r="DA12" s="239"/>
      <c r="DB12" s="231"/>
      <c r="DC12" s="231"/>
      <c r="DD12" s="231"/>
      <c r="DE12" s="231"/>
      <c r="DF12" s="239"/>
    </row>
    <row r="13" spans="1:111" s="247" customFormat="1" ht="30" hidden="1" customHeight="1" x14ac:dyDescent="0.25">
      <c r="A13" s="224"/>
      <c r="B13" s="224"/>
      <c r="C13" s="241"/>
      <c r="D13" s="241"/>
      <c r="E13" s="242"/>
      <c r="F13" s="242"/>
      <c r="G13" s="242"/>
      <c r="H13" s="243" t="e">
        <f t="shared" ref="H13:CY13" si="3">H14</f>
        <v>#REF!</v>
      </c>
      <c r="I13" s="243" t="e">
        <f t="shared" si="3"/>
        <v>#REF!</v>
      </c>
      <c r="J13" s="243" t="e">
        <f t="shared" si="3"/>
        <v>#REF!</v>
      </c>
      <c r="K13" s="243" t="e">
        <f t="shared" si="3"/>
        <v>#REF!</v>
      </c>
      <c r="L13" s="243" t="e">
        <f t="shared" si="3"/>
        <v>#REF!</v>
      </c>
      <c r="M13" s="243" t="e">
        <f t="shared" si="3"/>
        <v>#REF!</v>
      </c>
      <c r="N13" s="243" t="e">
        <f t="shared" si="3"/>
        <v>#REF!</v>
      </c>
      <c r="O13" s="243" t="e">
        <f t="shared" si="3"/>
        <v>#REF!</v>
      </c>
      <c r="P13" s="243" t="e">
        <f t="shared" si="3"/>
        <v>#REF!</v>
      </c>
      <c r="Q13" s="243" t="e">
        <f t="shared" si="3"/>
        <v>#REF!</v>
      </c>
      <c r="R13" s="243" t="e">
        <f t="shared" si="3"/>
        <v>#REF!</v>
      </c>
      <c r="S13" s="243" t="e">
        <f t="shared" si="3"/>
        <v>#REF!</v>
      </c>
      <c r="T13" s="243" t="e">
        <f t="shared" si="3"/>
        <v>#REF!</v>
      </c>
      <c r="U13" s="243" t="e">
        <f t="shared" si="3"/>
        <v>#REF!</v>
      </c>
      <c r="V13" s="243">
        <v>17763946</v>
      </c>
      <c r="W13" s="243">
        <v>0</v>
      </c>
      <c r="X13" s="243">
        <v>17763946</v>
      </c>
      <c r="Y13" s="243">
        <v>42872</v>
      </c>
      <c r="Z13" s="243">
        <v>17806818</v>
      </c>
      <c r="AA13" s="243">
        <v>3466000</v>
      </c>
      <c r="AB13" s="243">
        <v>21272818</v>
      </c>
      <c r="AC13" s="243" t="e">
        <f>AD13-AB13</f>
        <v>#REF!</v>
      </c>
      <c r="AD13" s="243" t="e">
        <f>AE13</f>
        <v>#REF!</v>
      </c>
      <c r="AE13" s="243" t="e">
        <f>AG13+AL13+AP13+AU13+BA13+BB13+BE13+BF13</f>
        <v>#REF!</v>
      </c>
      <c r="AF13" s="243" t="e">
        <f t="shared" si="2"/>
        <v>#REF!</v>
      </c>
      <c r="AG13" s="243" t="e">
        <f t="shared" si="3"/>
        <v>#REF!</v>
      </c>
      <c r="AH13" s="243" t="e">
        <f t="shared" si="3"/>
        <v>#REF!</v>
      </c>
      <c r="AI13" s="243" t="e">
        <f t="shared" si="3"/>
        <v>#REF!</v>
      </c>
      <c r="AJ13" s="243" t="e">
        <f t="shared" si="3"/>
        <v>#REF!</v>
      </c>
      <c r="AK13" s="243" t="e">
        <f t="shared" si="3"/>
        <v>#REF!</v>
      </c>
      <c r="AL13" s="243" t="e">
        <f t="shared" si="3"/>
        <v>#REF!</v>
      </c>
      <c r="AM13" s="243" t="e">
        <f t="shared" si="3"/>
        <v>#REF!</v>
      </c>
      <c r="AN13" s="243" t="e">
        <f t="shared" si="3"/>
        <v>#REF!</v>
      </c>
      <c r="AO13" s="243" t="e">
        <f t="shared" si="3"/>
        <v>#REF!</v>
      </c>
      <c r="AP13" s="243" t="e">
        <f t="shared" si="3"/>
        <v>#REF!</v>
      </c>
      <c r="AQ13" s="243" t="e">
        <f t="shared" si="3"/>
        <v>#REF!</v>
      </c>
      <c r="AR13" s="243" t="e">
        <f t="shared" si="3"/>
        <v>#REF!</v>
      </c>
      <c r="AS13" s="243" t="e">
        <f t="shared" si="3"/>
        <v>#REF!</v>
      </c>
      <c r="AT13" s="243" t="e">
        <f t="shared" si="3"/>
        <v>#REF!</v>
      </c>
      <c r="AU13" s="243" t="e">
        <f t="shared" si="3"/>
        <v>#REF!</v>
      </c>
      <c r="AV13" s="243" t="e">
        <f t="shared" si="3"/>
        <v>#REF!</v>
      </c>
      <c r="AW13" s="243" t="e">
        <f t="shared" si="3"/>
        <v>#REF!</v>
      </c>
      <c r="AX13" s="243" t="e">
        <f t="shared" si="3"/>
        <v>#REF!</v>
      </c>
      <c r="AY13" s="243" t="e">
        <f t="shared" si="3"/>
        <v>#REF!</v>
      </c>
      <c r="AZ13" s="243" t="e">
        <f t="shared" si="3"/>
        <v>#REF!</v>
      </c>
      <c r="BA13" s="243" t="e">
        <f t="shared" si="3"/>
        <v>#REF!</v>
      </c>
      <c r="BB13" s="243" t="e">
        <f t="shared" si="3"/>
        <v>#REF!</v>
      </c>
      <c r="BC13" s="243" t="e">
        <f t="shared" si="3"/>
        <v>#REF!</v>
      </c>
      <c r="BD13" s="243" t="e">
        <f t="shared" si="3"/>
        <v>#REF!</v>
      </c>
      <c r="BE13" s="243" t="e">
        <f t="shared" si="3"/>
        <v>#REF!</v>
      </c>
      <c r="BF13" s="243" t="e">
        <f t="shared" si="3"/>
        <v>#REF!</v>
      </c>
      <c r="BG13" s="243" t="e">
        <f t="shared" si="3"/>
        <v>#REF!</v>
      </c>
      <c r="BH13" s="243" t="e">
        <f t="shared" si="3"/>
        <v>#REF!</v>
      </c>
      <c r="BI13" s="243" t="e">
        <f t="shared" si="3"/>
        <v>#REF!</v>
      </c>
      <c r="BJ13" s="243"/>
      <c r="BK13" s="244"/>
      <c r="BL13" s="244"/>
      <c r="BM13" s="244"/>
      <c r="BN13" s="243">
        <f t="shared" si="3"/>
        <v>114384</v>
      </c>
      <c r="BO13" s="243">
        <f t="shared" si="3"/>
        <v>112719</v>
      </c>
      <c r="BP13" s="243">
        <f t="shared" si="3"/>
        <v>2000</v>
      </c>
      <c r="BQ13" s="243">
        <f t="shared" si="3"/>
        <v>2000</v>
      </c>
      <c r="BR13" s="243">
        <f t="shared" si="3"/>
        <v>0</v>
      </c>
      <c r="BS13" s="243">
        <f t="shared" si="3"/>
        <v>0</v>
      </c>
      <c r="BT13" s="243">
        <f t="shared" si="3"/>
        <v>0</v>
      </c>
      <c r="BU13" s="243">
        <f t="shared" si="3"/>
        <v>2000</v>
      </c>
      <c r="BV13" s="243">
        <f t="shared" si="3"/>
        <v>2000</v>
      </c>
      <c r="BW13" s="243">
        <f t="shared" si="3"/>
        <v>0</v>
      </c>
      <c r="BX13" s="243">
        <f t="shared" si="3"/>
        <v>0</v>
      </c>
      <c r="BY13" s="243">
        <f t="shared" si="3"/>
        <v>0</v>
      </c>
      <c r="BZ13" s="243">
        <f t="shared" si="3"/>
        <v>21962</v>
      </c>
      <c r="CA13" s="243">
        <f t="shared" si="3"/>
        <v>21962</v>
      </c>
      <c r="CB13" s="243">
        <f t="shared" si="3"/>
        <v>0</v>
      </c>
      <c r="CC13" s="243">
        <f t="shared" si="3"/>
        <v>0</v>
      </c>
      <c r="CD13" s="243">
        <f t="shared" si="3"/>
        <v>0</v>
      </c>
      <c r="CE13" s="243">
        <f t="shared" si="3"/>
        <v>21962</v>
      </c>
      <c r="CF13" s="243">
        <f t="shared" si="3"/>
        <v>21962</v>
      </c>
      <c r="CG13" s="243">
        <f t="shared" si="3"/>
        <v>0</v>
      </c>
      <c r="CH13" s="243">
        <f t="shared" si="3"/>
        <v>0</v>
      </c>
      <c r="CI13" s="243">
        <f t="shared" si="3"/>
        <v>0</v>
      </c>
      <c r="CJ13" s="245">
        <f t="shared" si="3"/>
        <v>30530</v>
      </c>
      <c r="CK13" s="245">
        <f t="shared" si="3"/>
        <v>22640</v>
      </c>
      <c r="CL13" s="245">
        <f t="shared" si="3"/>
        <v>0</v>
      </c>
      <c r="CM13" s="245">
        <f t="shared" si="3"/>
        <v>100</v>
      </c>
      <c r="CN13" s="245">
        <f t="shared" si="3"/>
        <v>0</v>
      </c>
      <c r="CO13" s="243">
        <f t="shared" si="3"/>
        <v>0</v>
      </c>
      <c r="CP13" s="243">
        <f t="shared" si="3"/>
        <v>790</v>
      </c>
      <c r="CQ13" s="243">
        <f t="shared" si="3"/>
        <v>0</v>
      </c>
      <c r="CR13" s="243">
        <f t="shared" si="3"/>
        <v>7000</v>
      </c>
      <c r="CS13" s="243">
        <f t="shared" si="3"/>
        <v>0</v>
      </c>
      <c r="CT13" s="243">
        <f t="shared" si="3"/>
        <v>43388</v>
      </c>
      <c r="CU13" s="243">
        <f t="shared" si="3"/>
        <v>23245</v>
      </c>
      <c r="CV13" s="243">
        <f t="shared" si="3"/>
        <v>0</v>
      </c>
      <c r="CW13" s="243">
        <f t="shared" si="3"/>
        <v>20143</v>
      </c>
      <c r="CX13" s="245">
        <f t="shared" si="3"/>
        <v>0</v>
      </c>
      <c r="CY13" s="243" t="e">
        <f t="shared" si="3"/>
        <v>#REF!</v>
      </c>
      <c r="CZ13" s="246"/>
      <c r="DA13" s="246"/>
      <c r="DB13" s="224"/>
      <c r="DC13" s="224"/>
      <c r="DD13" s="224"/>
      <c r="DE13" s="224"/>
      <c r="DF13" s="246"/>
    </row>
    <row r="14" spans="1:111" s="247" customFormat="1" ht="28.5" customHeight="1" x14ac:dyDescent="0.25">
      <c r="A14" s="224"/>
      <c r="B14" s="224" t="s">
        <v>130</v>
      </c>
      <c r="C14" s="248"/>
      <c r="D14" s="248"/>
      <c r="E14" s="248"/>
      <c r="F14" s="248"/>
      <c r="G14" s="248"/>
      <c r="H14" s="248" t="e">
        <f>#REF!+#REF!+#REF!+#REF!+#REF!+#REF!+#REF!+#REF!+#REF!+#REF!+#REF!+#REF!+#REF!+#REF!+#REF!+#REF!+#REF!+#REF!+#REF!</f>
        <v>#REF!</v>
      </c>
      <c r="I14" s="248" t="e">
        <f>#REF!+#REF!+#REF!+#REF!+#REF!+#REF!+#REF!+#REF!+#REF!+#REF!+#REF!+#REF!+#REF!+#REF!+#REF!+#REF!+#REF!+#REF!+#REF!</f>
        <v>#REF!</v>
      </c>
      <c r="J14" s="248" t="e">
        <f>#REF!+#REF!+#REF!+#REF!+#REF!+#REF!+#REF!+#REF!+#REF!+#REF!+#REF!+#REF!+#REF!+#REF!+#REF!+#REF!+#REF!+#REF!+#REF!</f>
        <v>#REF!</v>
      </c>
      <c r="K14" s="248" t="e">
        <f>#REF!+#REF!+#REF!+#REF!+#REF!+#REF!+#REF!+#REF!+#REF!+#REF!+#REF!+#REF!+#REF!+#REF!+#REF!+#REF!+#REF!+#REF!+#REF!</f>
        <v>#REF!</v>
      </c>
      <c r="L14" s="248" t="e">
        <f>#REF!+#REF!+#REF!+#REF!+#REF!+#REF!+#REF!+#REF!+#REF!+#REF!+#REF!+#REF!+#REF!+#REF!+#REF!+#REF!+#REF!+#REF!+#REF!</f>
        <v>#REF!</v>
      </c>
      <c r="M14" s="248" t="e">
        <f>#REF!+#REF!+#REF!+#REF!+#REF!+#REF!+#REF!+#REF!+#REF!+#REF!+#REF!+#REF!+#REF!+#REF!+#REF!+#REF!+#REF!+#REF!+#REF!</f>
        <v>#REF!</v>
      </c>
      <c r="N14" s="248" t="e">
        <f>#REF!+#REF!+#REF!+#REF!+#REF!+#REF!+#REF!+#REF!+#REF!+#REF!+#REF!+#REF!+#REF!+#REF!+#REF!+#REF!+#REF!+#REF!+#REF!</f>
        <v>#REF!</v>
      </c>
      <c r="O14" s="248" t="e">
        <f>#REF!+#REF!+#REF!+#REF!+#REF!+#REF!+#REF!+#REF!+#REF!+#REF!+#REF!+#REF!+#REF!+#REF!+#REF!+#REF!+#REF!+#REF!+#REF!</f>
        <v>#REF!</v>
      </c>
      <c r="P14" s="248" t="e">
        <f>#REF!+#REF!+#REF!+#REF!+#REF!+#REF!+#REF!+#REF!+#REF!+#REF!+#REF!+#REF!+#REF!+#REF!+#REF!+#REF!+#REF!+#REF!+#REF!</f>
        <v>#REF!</v>
      </c>
      <c r="Q14" s="248" t="e">
        <f>#REF!+#REF!+#REF!+#REF!+#REF!+#REF!+#REF!+#REF!+#REF!+#REF!+#REF!+#REF!+#REF!+#REF!+#REF!+#REF!+#REF!+#REF!+#REF!</f>
        <v>#REF!</v>
      </c>
      <c r="R14" s="248" t="e">
        <f>#REF!+#REF!+#REF!+#REF!+#REF!+#REF!+#REF!+#REF!+#REF!+#REF!+#REF!+#REF!+#REF!+#REF!+#REF!+#REF!+#REF!+#REF!+#REF!</f>
        <v>#REF!</v>
      </c>
      <c r="S14" s="248" t="e">
        <f>#REF!+#REF!+#REF!+#REF!+#REF!+#REF!+#REF!+#REF!+#REF!+#REF!+#REF!+#REF!+#REF!+#REF!+#REF!+#REF!+#REF!+#REF!+#REF!</f>
        <v>#REF!</v>
      </c>
      <c r="T14" s="248" t="e">
        <f>#REF!+#REF!+#REF!+#REF!+#REF!+#REF!+#REF!+#REF!+#REF!+#REF!+#REF!+#REF!+#REF!+#REF!+#REF!+#REF!+#REF!+#REF!+#REF!</f>
        <v>#REF!</v>
      </c>
      <c r="U14" s="248" t="e">
        <f>#REF!+#REF!+#REF!+#REF!+#REF!+#REF!+#REF!+#REF!+#REF!+#REF!+#REF!+#REF!+#REF!+#REF!+#REF!+#REF!+#REF!+#REF!+#REF!</f>
        <v>#REF!</v>
      </c>
      <c r="V14" s="248">
        <v>17763946</v>
      </c>
      <c r="W14" s="243">
        <v>0</v>
      </c>
      <c r="X14" s="243">
        <v>17763946</v>
      </c>
      <c r="Y14" s="243">
        <v>42872</v>
      </c>
      <c r="Z14" s="243">
        <v>17806818</v>
      </c>
      <c r="AA14" s="243">
        <v>3466000</v>
      </c>
      <c r="AB14" s="243">
        <v>21272818</v>
      </c>
      <c r="AC14" s="243" t="e">
        <f t="shared" ref="AC14:AC25" si="4">AD14-AB14</f>
        <v>#REF!</v>
      </c>
      <c r="AD14" s="243" t="e">
        <f>AE14</f>
        <v>#REF!</v>
      </c>
      <c r="AE14" s="243" t="e">
        <f>AG14+AL14+AP14+AU14+BA14+BB14+BE14+BF14</f>
        <v>#REF!</v>
      </c>
      <c r="AF14" s="243" t="e">
        <f t="shared" si="2"/>
        <v>#REF!</v>
      </c>
      <c r="AG14" s="248" t="e">
        <f>#REF!+#REF!+#REF!+#REF!+#REF!+#REF!+#REF!+#REF!+#REF!+#REF!+#REF!+#REF!+#REF!+#REF!+#REF!+#REF!+#REF!+#REF!+#REF!</f>
        <v>#REF!</v>
      </c>
      <c r="AH14" s="248" t="e">
        <f>#REF!+#REF!+#REF!+#REF!+#REF!+#REF!+#REF!+#REF!+#REF!+#REF!+#REF!+#REF!+#REF!+#REF!+#REF!+#REF!+#REF!+#REF!+#REF!</f>
        <v>#REF!</v>
      </c>
      <c r="AI14" s="248" t="e">
        <f>#REF!+#REF!+#REF!+#REF!+#REF!+#REF!+#REF!+#REF!+#REF!+#REF!+#REF!+#REF!+#REF!+#REF!+#REF!+#REF!+#REF!+#REF!+#REF!</f>
        <v>#REF!</v>
      </c>
      <c r="AJ14" s="248" t="e">
        <f>#REF!+#REF!+#REF!+#REF!+#REF!+#REF!+#REF!+#REF!+#REF!+#REF!+#REF!+#REF!+#REF!+#REF!+#REF!+#REF!+#REF!+#REF!+#REF!</f>
        <v>#REF!</v>
      </c>
      <c r="AK14" s="248" t="e">
        <f>#REF!+#REF!+#REF!+#REF!+#REF!+#REF!+#REF!+#REF!+#REF!+#REF!+#REF!+#REF!+#REF!+#REF!+#REF!+#REF!+#REF!+#REF!+#REF!</f>
        <v>#REF!</v>
      </c>
      <c r="AL14" s="248" t="e">
        <f>#REF!+#REF!+#REF!+#REF!+#REF!+#REF!+#REF!+#REF!+#REF!+#REF!+#REF!+#REF!+#REF!+#REF!+#REF!+#REF!+#REF!+#REF!+#REF!</f>
        <v>#REF!</v>
      </c>
      <c r="AM14" s="248" t="e">
        <f>#REF!+#REF!+#REF!+#REF!+#REF!+#REF!+#REF!+#REF!+#REF!+#REF!+#REF!+#REF!+#REF!+#REF!+#REF!+#REF!+#REF!+#REF!+#REF!</f>
        <v>#REF!</v>
      </c>
      <c r="AN14" s="248" t="e">
        <f>#REF!+#REF!+#REF!+#REF!+#REF!+#REF!+#REF!+#REF!+#REF!+#REF!+#REF!+#REF!+#REF!+#REF!+#REF!+#REF!+#REF!+#REF!+#REF!</f>
        <v>#REF!</v>
      </c>
      <c r="AO14" s="248" t="e">
        <f>#REF!+#REF!+#REF!+#REF!+#REF!+#REF!+#REF!+#REF!+#REF!+#REF!+#REF!+#REF!+#REF!+#REF!+#REF!+#REF!+#REF!+#REF!+#REF!</f>
        <v>#REF!</v>
      </c>
      <c r="AP14" s="248" t="e">
        <f>#REF!+#REF!+#REF!+#REF!+#REF!+#REF!+#REF!+#REF!+#REF!+#REF!+#REF!+#REF!+#REF!+#REF!+#REF!+#REF!+#REF!+#REF!+#REF!</f>
        <v>#REF!</v>
      </c>
      <c r="AQ14" s="248" t="e">
        <f>#REF!+#REF!+#REF!+#REF!+#REF!+#REF!+#REF!+#REF!+#REF!+#REF!+#REF!+#REF!+#REF!+#REF!+#REF!+#REF!+#REF!+#REF!+#REF!</f>
        <v>#REF!</v>
      </c>
      <c r="AR14" s="248" t="e">
        <f>#REF!+#REF!+#REF!+#REF!+#REF!+#REF!+#REF!+#REF!+#REF!+#REF!+#REF!+#REF!+#REF!+#REF!+#REF!+#REF!+#REF!+#REF!+#REF!</f>
        <v>#REF!</v>
      </c>
      <c r="AS14" s="248" t="e">
        <f>#REF!+#REF!+#REF!+#REF!+#REF!+#REF!+#REF!+#REF!+#REF!+#REF!+#REF!+#REF!+#REF!+#REF!+#REF!+#REF!+#REF!+#REF!+#REF!</f>
        <v>#REF!</v>
      </c>
      <c r="AT14" s="248" t="e">
        <f>#REF!+#REF!+#REF!+#REF!+#REF!+#REF!+#REF!+#REF!+#REF!+#REF!+#REF!+#REF!+#REF!+#REF!+#REF!+#REF!+#REF!+#REF!+#REF!</f>
        <v>#REF!</v>
      </c>
      <c r="AU14" s="248" t="e">
        <f>#REF!+#REF!+#REF!+#REF!+#REF!+#REF!+#REF!+#REF!+#REF!+#REF!+#REF!+#REF!+#REF!+#REF!+#REF!+#REF!+#REF!+#REF!+#REF!</f>
        <v>#REF!</v>
      </c>
      <c r="AV14" s="248" t="e">
        <f>#REF!+#REF!+#REF!+#REF!+#REF!+#REF!+#REF!+#REF!+#REF!+#REF!+#REF!+#REF!+#REF!+#REF!+#REF!+#REF!+#REF!+#REF!+#REF!</f>
        <v>#REF!</v>
      </c>
      <c r="AW14" s="248" t="e">
        <f>#REF!+#REF!+#REF!+#REF!+#REF!+#REF!+#REF!+#REF!+#REF!+#REF!+#REF!+#REF!+#REF!+#REF!+#REF!+#REF!+#REF!+#REF!+#REF!</f>
        <v>#REF!</v>
      </c>
      <c r="AX14" s="248" t="e">
        <f>#REF!+#REF!+#REF!+#REF!+#REF!+#REF!+#REF!+#REF!+#REF!+#REF!+#REF!+#REF!+#REF!+#REF!+#REF!+#REF!+#REF!+#REF!+#REF!</f>
        <v>#REF!</v>
      </c>
      <c r="AY14" s="248" t="e">
        <f>#REF!+#REF!+#REF!+#REF!+#REF!+#REF!+#REF!+#REF!+#REF!+#REF!+#REF!+#REF!+#REF!+#REF!+#REF!+#REF!+#REF!+#REF!+#REF!</f>
        <v>#REF!</v>
      </c>
      <c r="AZ14" s="248" t="e">
        <f>#REF!+#REF!+#REF!+#REF!+#REF!+#REF!+#REF!+#REF!+#REF!+#REF!+#REF!+#REF!+#REF!+#REF!+#REF!+#REF!+#REF!+#REF!+#REF!</f>
        <v>#REF!</v>
      </c>
      <c r="BA14" s="248" t="e">
        <f>#REF!+#REF!+#REF!+#REF!+#REF!+#REF!+#REF!+#REF!+#REF!+#REF!+#REF!+#REF!+#REF!+#REF!+#REF!+#REF!+#REF!+#REF!+#REF!</f>
        <v>#REF!</v>
      </c>
      <c r="BB14" s="248" t="e">
        <f>#REF!+#REF!+#REF!+#REF!+#REF!+#REF!+#REF!+#REF!+#REF!+#REF!+#REF!+#REF!+#REF!+#REF!+#REF!+#REF!+#REF!+#REF!+#REF!</f>
        <v>#REF!</v>
      </c>
      <c r="BC14" s="248" t="e">
        <f>#REF!+#REF!+#REF!+#REF!+#REF!+#REF!+#REF!+#REF!+#REF!+#REF!+#REF!+#REF!+#REF!+#REF!+#REF!+#REF!+#REF!+#REF!+#REF!</f>
        <v>#REF!</v>
      </c>
      <c r="BD14" s="248" t="e">
        <f>#REF!+#REF!+#REF!+#REF!+#REF!+#REF!+#REF!+#REF!+#REF!+#REF!+#REF!+#REF!+#REF!+#REF!+#REF!+#REF!+#REF!+#REF!+#REF!</f>
        <v>#REF!</v>
      </c>
      <c r="BE14" s="248" t="e">
        <f>#REF!+#REF!+#REF!+#REF!+#REF!+#REF!+#REF!+#REF!+#REF!+#REF!+#REF!+#REF!+#REF!+#REF!+#REF!+#REF!+#REF!+#REF!+#REF!</f>
        <v>#REF!</v>
      </c>
      <c r="BF14" s="248" t="e">
        <f>#REF!+#REF!+#REF!+#REF!+#REF!+#REF!+#REF!+#REF!+#REF!+#REF!+#REF!+#REF!+#REF!+#REF!+#REF!+#REF!+#REF!+#REF!+#REF!</f>
        <v>#REF!</v>
      </c>
      <c r="BG14" s="248" t="e">
        <f>#REF!+#REF!+#REF!+#REF!+#REF!+#REF!+#REF!+#REF!+#REF!+#REF!+#REF!+#REF!+#REF!+#REF!+#REF!+#REF!+#REF!+#REF!+#REF!</f>
        <v>#REF!</v>
      </c>
      <c r="BH14" s="248" t="e">
        <f>#REF!+#REF!+#REF!+#REF!+#REF!+#REF!+#REF!+#REF!+#REF!+#REF!+#REF!+#REF!+#REF!+#REF!+#REF!+#REF!+#REF!+#REF!+#REF!</f>
        <v>#REF!</v>
      </c>
      <c r="BI14" s="248" t="e">
        <f>#REF!+#REF!+#REF!+#REF!+#REF!+#REF!+#REF!+#REF!+#REF!+#REF!+#REF!+#REF!+#REF!+#REF!+#REF!+#REF!+#REF!+#REF!+#REF!</f>
        <v>#REF!</v>
      </c>
      <c r="BJ14" s="248"/>
      <c r="BK14" s="249"/>
      <c r="BL14" s="249"/>
      <c r="BM14" s="249"/>
      <c r="BN14" s="248">
        <f>BN15+BN18</f>
        <v>114384</v>
      </c>
      <c r="BO14" s="248">
        <f t="shared" ref="BO14:CX14" si="5">BO15+BO18</f>
        <v>112719</v>
      </c>
      <c r="BP14" s="248">
        <f t="shared" si="5"/>
        <v>2000</v>
      </c>
      <c r="BQ14" s="248">
        <f t="shared" si="5"/>
        <v>2000</v>
      </c>
      <c r="BR14" s="248">
        <f t="shared" si="5"/>
        <v>0</v>
      </c>
      <c r="BS14" s="248">
        <f t="shared" si="5"/>
        <v>0</v>
      </c>
      <c r="BT14" s="248">
        <f t="shared" si="5"/>
        <v>0</v>
      </c>
      <c r="BU14" s="248">
        <f t="shared" si="5"/>
        <v>2000</v>
      </c>
      <c r="BV14" s="248">
        <f t="shared" si="5"/>
        <v>2000</v>
      </c>
      <c r="BW14" s="248">
        <f t="shared" si="5"/>
        <v>0</v>
      </c>
      <c r="BX14" s="248">
        <f t="shared" si="5"/>
        <v>0</v>
      </c>
      <c r="BY14" s="248">
        <f t="shared" si="5"/>
        <v>0</v>
      </c>
      <c r="BZ14" s="248">
        <f t="shared" si="5"/>
        <v>21962</v>
      </c>
      <c r="CA14" s="248">
        <f t="shared" si="5"/>
        <v>21962</v>
      </c>
      <c r="CB14" s="248">
        <f t="shared" si="5"/>
        <v>0</v>
      </c>
      <c r="CC14" s="248">
        <f t="shared" si="5"/>
        <v>0</v>
      </c>
      <c r="CD14" s="248">
        <f t="shared" si="5"/>
        <v>0</v>
      </c>
      <c r="CE14" s="248">
        <f t="shared" si="5"/>
        <v>21962</v>
      </c>
      <c r="CF14" s="248">
        <f t="shared" si="5"/>
        <v>21962</v>
      </c>
      <c r="CG14" s="248">
        <f t="shared" si="5"/>
        <v>0</v>
      </c>
      <c r="CH14" s="248">
        <f t="shared" si="5"/>
        <v>0</v>
      </c>
      <c r="CI14" s="248">
        <f t="shared" si="5"/>
        <v>0</v>
      </c>
      <c r="CJ14" s="248">
        <f t="shared" si="5"/>
        <v>30530</v>
      </c>
      <c r="CK14" s="248">
        <f t="shared" si="5"/>
        <v>22640</v>
      </c>
      <c r="CL14" s="248">
        <f t="shared" si="5"/>
        <v>0</v>
      </c>
      <c r="CM14" s="248">
        <f t="shared" si="5"/>
        <v>100</v>
      </c>
      <c r="CN14" s="248">
        <f t="shared" si="5"/>
        <v>0</v>
      </c>
      <c r="CO14" s="248">
        <f t="shared" si="5"/>
        <v>0</v>
      </c>
      <c r="CP14" s="248">
        <f t="shared" si="5"/>
        <v>790</v>
      </c>
      <c r="CQ14" s="248">
        <f t="shared" si="5"/>
        <v>0</v>
      </c>
      <c r="CR14" s="248">
        <f t="shared" si="5"/>
        <v>7000</v>
      </c>
      <c r="CS14" s="248">
        <f t="shared" si="5"/>
        <v>0</v>
      </c>
      <c r="CT14" s="248">
        <f t="shared" si="5"/>
        <v>43388</v>
      </c>
      <c r="CU14" s="248">
        <f t="shared" si="5"/>
        <v>23245</v>
      </c>
      <c r="CV14" s="248">
        <f t="shared" si="5"/>
        <v>0</v>
      </c>
      <c r="CW14" s="248">
        <f t="shared" si="5"/>
        <v>20143</v>
      </c>
      <c r="CX14" s="248">
        <f t="shared" si="5"/>
        <v>0</v>
      </c>
      <c r="CY14" s="248" t="e">
        <f>#REF!+#REF!+#REF!+#REF!+#REF!+#REF!+#REF!+#REF!+#REF!+#REF!+#REF!+#REF!+#REF!+#REF!+#REF!+#REF!+#REF!+#REF!</f>
        <v>#REF!</v>
      </c>
      <c r="CZ14" s="248"/>
      <c r="DA14" s="248"/>
      <c r="DB14" s="224"/>
      <c r="DC14" s="224"/>
      <c r="DD14" s="224"/>
      <c r="DE14" s="224"/>
      <c r="DF14" s="250"/>
      <c r="DG14" s="251">
        <f>CT14+'[3]PL3 NSTW '!AI12+'[3]PL6 NTM'!O7</f>
        <v>65204</v>
      </c>
    </row>
    <row r="15" spans="1:111" s="247" customFormat="1" ht="30" customHeight="1" x14ac:dyDescent="0.25">
      <c r="A15" s="224"/>
      <c r="B15" s="252" t="s">
        <v>1639</v>
      </c>
      <c r="C15" s="241"/>
      <c r="D15" s="241"/>
      <c r="E15" s="253"/>
      <c r="F15" s="253"/>
      <c r="G15" s="241"/>
      <c r="H15" s="254">
        <f t="shared" ref="H15:U15" si="6">SUM(H16:H25)</f>
        <v>114384</v>
      </c>
      <c r="I15" s="254">
        <f t="shared" si="6"/>
        <v>112719</v>
      </c>
      <c r="J15" s="254">
        <f t="shared" si="6"/>
        <v>150</v>
      </c>
      <c r="K15" s="254">
        <f t="shared" si="6"/>
        <v>150</v>
      </c>
      <c r="L15" s="254">
        <f t="shared" si="6"/>
        <v>0</v>
      </c>
      <c r="M15" s="254">
        <f t="shared" si="6"/>
        <v>0</v>
      </c>
      <c r="N15" s="254">
        <f t="shared" si="6"/>
        <v>0</v>
      </c>
      <c r="O15" s="254">
        <f t="shared" si="6"/>
        <v>0</v>
      </c>
      <c r="P15" s="254">
        <f t="shared" si="6"/>
        <v>0</v>
      </c>
      <c r="Q15" s="254">
        <f t="shared" si="6"/>
        <v>0</v>
      </c>
      <c r="R15" s="254">
        <f t="shared" si="6"/>
        <v>69850</v>
      </c>
      <c r="S15" s="254">
        <f t="shared" si="6"/>
        <v>69850</v>
      </c>
      <c r="T15" s="254">
        <f t="shared" si="6"/>
        <v>0</v>
      </c>
      <c r="U15" s="254">
        <f t="shared" si="6"/>
        <v>0</v>
      </c>
      <c r="V15" s="254">
        <v>432479</v>
      </c>
      <c r="W15" s="243">
        <v>12813</v>
      </c>
      <c r="X15" s="243">
        <v>445292</v>
      </c>
      <c r="Y15" s="243">
        <v>0</v>
      </c>
      <c r="Z15" s="243">
        <v>445292</v>
      </c>
      <c r="AA15" s="243">
        <v>0</v>
      </c>
      <c r="AB15" s="243">
        <v>445292</v>
      </c>
      <c r="AC15" s="243">
        <f t="shared" si="4"/>
        <v>-333326</v>
      </c>
      <c r="AD15" s="243">
        <f>AE15</f>
        <v>111966</v>
      </c>
      <c r="AE15" s="243">
        <f>AG15+AL15+AP15+AU15+BA15+BB15+BE15+BF15</f>
        <v>111966</v>
      </c>
      <c r="AF15" s="243">
        <f t="shared" si="2"/>
        <v>111966</v>
      </c>
      <c r="AG15" s="255">
        <f>SUM(AH15:AK15)</f>
        <v>104176</v>
      </c>
      <c r="AH15" s="254">
        <f t="shared" ref="AH15:AZ15" si="7">SUM(AH16:AH25)</f>
        <v>69847</v>
      </c>
      <c r="AI15" s="254">
        <f t="shared" si="7"/>
        <v>0</v>
      </c>
      <c r="AJ15" s="254">
        <f t="shared" si="7"/>
        <v>34329</v>
      </c>
      <c r="AK15" s="254">
        <f t="shared" si="7"/>
        <v>0</v>
      </c>
      <c r="AL15" s="254">
        <f t="shared" si="7"/>
        <v>0</v>
      </c>
      <c r="AM15" s="254">
        <f t="shared" si="7"/>
        <v>0</v>
      </c>
      <c r="AN15" s="254">
        <f t="shared" si="7"/>
        <v>0</v>
      </c>
      <c r="AO15" s="254">
        <f t="shared" si="7"/>
        <v>0</v>
      </c>
      <c r="AP15" s="254">
        <f t="shared" si="7"/>
        <v>0</v>
      </c>
      <c r="AQ15" s="254">
        <f t="shared" si="7"/>
        <v>0</v>
      </c>
      <c r="AR15" s="254">
        <f t="shared" si="7"/>
        <v>0</v>
      </c>
      <c r="AS15" s="254">
        <f t="shared" si="7"/>
        <v>0</v>
      </c>
      <c r="AT15" s="254">
        <f t="shared" si="7"/>
        <v>0</v>
      </c>
      <c r="AU15" s="254">
        <f t="shared" si="7"/>
        <v>7790</v>
      </c>
      <c r="AV15" s="254">
        <f t="shared" si="7"/>
        <v>0</v>
      </c>
      <c r="AW15" s="254">
        <f t="shared" si="7"/>
        <v>790</v>
      </c>
      <c r="AX15" s="254">
        <f t="shared" si="7"/>
        <v>0</v>
      </c>
      <c r="AY15" s="254">
        <f t="shared" si="7"/>
        <v>7000</v>
      </c>
      <c r="AZ15" s="254">
        <f t="shared" si="7"/>
        <v>0</v>
      </c>
      <c r="BA15" s="254"/>
      <c r="BB15" s="254">
        <f>SUM(BB16:BB25)</f>
        <v>0</v>
      </c>
      <c r="BC15" s="254">
        <f>SUM(BC16:BC25)</f>
        <v>0</v>
      </c>
      <c r="BD15" s="254">
        <f>SUM(BD16:BD25)</f>
        <v>0</v>
      </c>
      <c r="BE15" s="254"/>
      <c r="BF15" s="254">
        <f>SUM(BF16:BF25)</f>
        <v>0</v>
      </c>
      <c r="BG15" s="254">
        <f>SUM(BG16:BG25)</f>
        <v>0</v>
      </c>
      <c r="BH15" s="254">
        <f>SUM(BH16:BH25)</f>
        <v>0</v>
      </c>
      <c r="BI15" s="254">
        <f>SUM(BI16:BI25)</f>
        <v>0</v>
      </c>
      <c r="BJ15" s="254">
        <f>SUM(BJ16:BJ25)</f>
        <v>15767089</v>
      </c>
      <c r="BK15" s="256"/>
      <c r="BL15" s="256"/>
      <c r="BM15" s="256"/>
      <c r="BN15" s="254">
        <f>SUM(BN16:BN17)</f>
        <v>70600</v>
      </c>
      <c r="BO15" s="254">
        <f t="shared" ref="BO15:CX15" si="8">SUM(BO16:BO17)</f>
        <v>70600</v>
      </c>
      <c r="BP15" s="254">
        <f t="shared" si="8"/>
        <v>2000</v>
      </c>
      <c r="BQ15" s="254">
        <f t="shared" si="8"/>
        <v>2000</v>
      </c>
      <c r="BR15" s="254">
        <f t="shared" si="8"/>
        <v>0</v>
      </c>
      <c r="BS15" s="254">
        <f t="shared" si="8"/>
        <v>0</v>
      </c>
      <c r="BT15" s="254">
        <f t="shared" si="8"/>
        <v>0</v>
      </c>
      <c r="BU15" s="254">
        <f t="shared" si="8"/>
        <v>2000</v>
      </c>
      <c r="BV15" s="254">
        <f t="shared" si="8"/>
        <v>2000</v>
      </c>
      <c r="BW15" s="254">
        <f t="shared" si="8"/>
        <v>0</v>
      </c>
      <c r="BX15" s="254">
        <f t="shared" si="8"/>
        <v>0</v>
      </c>
      <c r="BY15" s="254">
        <f t="shared" si="8"/>
        <v>0</v>
      </c>
      <c r="BZ15" s="254">
        <f t="shared" si="8"/>
        <v>21962</v>
      </c>
      <c r="CA15" s="254">
        <f t="shared" si="8"/>
        <v>21962</v>
      </c>
      <c r="CB15" s="254">
        <f t="shared" si="8"/>
        <v>0</v>
      </c>
      <c r="CC15" s="254">
        <f t="shared" si="8"/>
        <v>0</v>
      </c>
      <c r="CD15" s="254">
        <f t="shared" si="8"/>
        <v>0</v>
      </c>
      <c r="CE15" s="254">
        <f t="shared" si="8"/>
        <v>21962</v>
      </c>
      <c r="CF15" s="254">
        <f t="shared" si="8"/>
        <v>21962</v>
      </c>
      <c r="CG15" s="254">
        <f t="shared" si="8"/>
        <v>0</v>
      </c>
      <c r="CH15" s="254">
        <f t="shared" si="8"/>
        <v>0</v>
      </c>
      <c r="CI15" s="254">
        <f t="shared" si="8"/>
        <v>0</v>
      </c>
      <c r="CJ15" s="254">
        <f t="shared" si="8"/>
        <v>22640</v>
      </c>
      <c r="CK15" s="254">
        <f t="shared" si="8"/>
        <v>22640</v>
      </c>
      <c r="CL15" s="254">
        <f t="shared" si="8"/>
        <v>0</v>
      </c>
      <c r="CM15" s="254">
        <f t="shared" si="8"/>
        <v>0</v>
      </c>
      <c r="CN15" s="254">
        <f t="shared" si="8"/>
        <v>0</v>
      </c>
      <c r="CO15" s="254">
        <f t="shared" si="8"/>
        <v>0</v>
      </c>
      <c r="CP15" s="254">
        <f t="shared" si="8"/>
        <v>0</v>
      </c>
      <c r="CQ15" s="254">
        <f t="shared" si="8"/>
        <v>0</v>
      </c>
      <c r="CR15" s="254">
        <f t="shared" si="8"/>
        <v>0</v>
      </c>
      <c r="CS15" s="254">
        <f t="shared" si="8"/>
        <v>0</v>
      </c>
      <c r="CT15" s="254">
        <f t="shared" si="8"/>
        <v>23245</v>
      </c>
      <c r="CU15" s="254">
        <f t="shared" si="8"/>
        <v>23245</v>
      </c>
      <c r="CV15" s="254">
        <f t="shared" si="8"/>
        <v>0</v>
      </c>
      <c r="CW15" s="254">
        <f t="shared" si="8"/>
        <v>0</v>
      </c>
      <c r="CX15" s="254">
        <f t="shared" si="8"/>
        <v>0</v>
      </c>
      <c r="CY15" s="254">
        <f>SUM(CY16:CY25)</f>
        <v>0</v>
      </c>
      <c r="CZ15" s="254"/>
      <c r="DA15" s="254">
        <f t="shared" ref="DA15:DF15" si="9">SUM(DA16:DA25)</f>
        <v>0</v>
      </c>
      <c r="DB15" s="254">
        <f t="shared" si="9"/>
        <v>0</v>
      </c>
      <c r="DC15" s="254">
        <f t="shared" si="9"/>
        <v>0</v>
      </c>
      <c r="DD15" s="254">
        <f t="shared" si="9"/>
        <v>0</v>
      </c>
      <c r="DE15" s="254">
        <f t="shared" si="9"/>
        <v>0</v>
      </c>
      <c r="DF15" s="254">
        <f t="shared" si="9"/>
        <v>0</v>
      </c>
    </row>
    <row r="16" spans="1:111" ht="44.25" customHeight="1" x14ac:dyDescent="0.25">
      <c r="A16" s="257" t="s">
        <v>1042</v>
      </c>
      <c r="B16" s="258" t="s">
        <v>1640</v>
      </c>
      <c r="C16" s="259" t="s">
        <v>1641</v>
      </c>
      <c r="D16" s="260" t="s">
        <v>1642</v>
      </c>
      <c r="E16" s="261">
        <v>2021</v>
      </c>
      <c r="F16" s="261">
        <v>2024</v>
      </c>
      <c r="G16" s="128" t="s">
        <v>1643</v>
      </c>
      <c r="H16" s="262">
        <v>58600</v>
      </c>
      <c r="I16" s="262">
        <v>58600</v>
      </c>
      <c r="J16" s="263"/>
      <c r="K16" s="263"/>
      <c r="L16" s="263"/>
      <c r="M16" s="263"/>
      <c r="N16" s="263"/>
      <c r="O16" s="263"/>
      <c r="P16" s="263"/>
      <c r="Q16" s="263"/>
      <c r="R16" s="264">
        <f>S16</f>
        <v>58000</v>
      </c>
      <c r="S16" s="264">
        <v>58000</v>
      </c>
      <c r="T16" s="263"/>
      <c r="U16" s="263"/>
      <c r="V16" s="263">
        <v>58000</v>
      </c>
      <c r="W16" s="265">
        <v>0</v>
      </c>
      <c r="X16" s="265">
        <v>58000</v>
      </c>
      <c r="Y16" s="265">
        <v>0</v>
      </c>
      <c r="Z16" s="265">
        <v>58000</v>
      </c>
      <c r="AA16" s="265">
        <v>0</v>
      </c>
      <c r="AB16" s="265">
        <v>58000</v>
      </c>
      <c r="AC16" s="265">
        <f t="shared" si="4"/>
        <v>0</v>
      </c>
      <c r="AD16" s="265">
        <f>AE16</f>
        <v>58000</v>
      </c>
      <c r="AE16" s="265">
        <f>AG16+AL16+AP16+AU16+BA16+BB16+BE16+BF16</f>
        <v>58000</v>
      </c>
      <c r="AF16" s="265">
        <f t="shared" si="2"/>
        <v>58000</v>
      </c>
      <c r="AG16" s="255">
        <f>SUM(AH16:AK16)</f>
        <v>58000</v>
      </c>
      <c r="AH16" s="264">
        <v>58000</v>
      </c>
      <c r="AI16" s="264"/>
      <c r="AJ16" s="264"/>
      <c r="AK16" s="264"/>
      <c r="AL16" s="264"/>
      <c r="AM16" s="264"/>
      <c r="AN16" s="264"/>
      <c r="AO16" s="264"/>
      <c r="AP16" s="265">
        <f>SUM(AQ16:AT16)</f>
        <v>0</v>
      </c>
      <c r="AQ16" s="264"/>
      <c r="AR16" s="264"/>
      <c r="AS16" s="264"/>
      <c r="AT16" s="264"/>
      <c r="AU16" s="265">
        <f t="shared" ref="AU16:AU25" si="10">SUM(AV16:AZ16)</f>
        <v>0</v>
      </c>
      <c r="AV16" s="265"/>
      <c r="AW16" s="265"/>
      <c r="AX16" s="264"/>
      <c r="AY16" s="264"/>
      <c r="AZ16" s="264"/>
      <c r="BA16" s="264"/>
      <c r="BB16" s="264"/>
      <c r="BC16" s="264"/>
      <c r="BD16" s="264"/>
      <c r="BE16" s="264"/>
      <c r="BF16" s="265">
        <f>SUM(BG16:BI16)</f>
        <v>0</v>
      </c>
      <c r="BG16" s="264"/>
      <c r="BH16" s="264"/>
      <c r="BI16" s="264"/>
      <c r="BJ16" s="261">
        <v>7883543</v>
      </c>
      <c r="BK16" s="259">
        <v>2021</v>
      </c>
      <c r="BL16" s="259">
        <v>2024</v>
      </c>
      <c r="BM16" s="266" t="s">
        <v>1643</v>
      </c>
      <c r="BN16" s="262">
        <v>58600</v>
      </c>
      <c r="BO16" s="262">
        <v>58600</v>
      </c>
      <c r="BP16" s="263">
        <v>2000</v>
      </c>
      <c r="BQ16" s="263">
        <v>2000</v>
      </c>
      <c r="BR16" s="263"/>
      <c r="BS16" s="263"/>
      <c r="BT16" s="263"/>
      <c r="BU16" s="263">
        <v>2000</v>
      </c>
      <c r="BV16" s="263">
        <v>2000</v>
      </c>
      <c r="BW16" s="263"/>
      <c r="BX16" s="263"/>
      <c r="BY16" s="263"/>
      <c r="BZ16" s="267">
        <f>CA16</f>
        <v>19000</v>
      </c>
      <c r="CA16" s="267">
        <v>19000</v>
      </c>
      <c r="CB16" s="267"/>
      <c r="CC16" s="267"/>
      <c r="CD16" s="267"/>
      <c r="CE16" s="267">
        <f>CF16</f>
        <v>19000</v>
      </c>
      <c r="CF16" s="267">
        <v>19000</v>
      </c>
      <c r="CG16" s="267"/>
      <c r="CH16" s="267"/>
      <c r="CI16" s="267"/>
      <c r="CJ16" s="268">
        <f>SUM(CK16:CS16)</f>
        <v>15615</v>
      </c>
      <c r="CK16" s="269">
        <v>15615</v>
      </c>
      <c r="CL16" s="269">
        <f>AI16-BR16-CB16</f>
        <v>0</v>
      </c>
      <c r="CM16" s="269">
        <f>AJ16-BS16-CC16</f>
        <v>0</v>
      </c>
      <c r="CN16" s="267"/>
      <c r="CO16" s="265"/>
      <c r="CP16" s="265"/>
      <c r="CQ16" s="264"/>
      <c r="CR16" s="264"/>
      <c r="CS16" s="264"/>
      <c r="CT16" s="265">
        <f>SUM(CU16:CW16)</f>
        <v>21385</v>
      </c>
      <c r="CU16" s="270">
        <f t="shared" ref="CU16:CW17" si="11">AH16-BQ16-CA16-CK16</f>
        <v>21385</v>
      </c>
      <c r="CV16" s="270">
        <f t="shared" si="11"/>
        <v>0</v>
      </c>
      <c r="CW16" s="270">
        <f t="shared" si="11"/>
        <v>0</v>
      </c>
      <c r="CX16" s="267"/>
      <c r="CY16" s="271"/>
      <c r="CZ16" s="128"/>
      <c r="DA16" s="128"/>
      <c r="DB16" s="272"/>
      <c r="DC16" s="272"/>
      <c r="DD16" s="272" t="s">
        <v>16</v>
      </c>
      <c r="DE16" s="272" t="s">
        <v>1644</v>
      </c>
      <c r="DF16" s="272"/>
    </row>
    <row r="17" spans="1:110" ht="43.5" customHeight="1" x14ac:dyDescent="0.25">
      <c r="A17" s="257" t="s">
        <v>1043</v>
      </c>
      <c r="B17" s="273" t="s">
        <v>1645</v>
      </c>
      <c r="C17" s="259" t="s">
        <v>1641</v>
      </c>
      <c r="D17" s="260" t="s">
        <v>1646</v>
      </c>
      <c r="E17" s="261">
        <v>2022</v>
      </c>
      <c r="F17" s="261">
        <v>2024</v>
      </c>
      <c r="G17" s="259" t="s">
        <v>1647</v>
      </c>
      <c r="H17" s="274">
        <v>12000</v>
      </c>
      <c r="I17" s="274">
        <v>12000</v>
      </c>
      <c r="J17" s="263">
        <v>150</v>
      </c>
      <c r="K17" s="263">
        <v>150</v>
      </c>
      <c r="L17" s="263"/>
      <c r="M17" s="263"/>
      <c r="N17" s="263">
        <v>0</v>
      </c>
      <c r="O17" s="263"/>
      <c r="P17" s="263"/>
      <c r="Q17" s="263"/>
      <c r="R17" s="263">
        <v>11850</v>
      </c>
      <c r="S17" s="263">
        <v>11850</v>
      </c>
      <c r="T17" s="263"/>
      <c r="U17" s="263"/>
      <c r="V17" s="263">
        <v>11850</v>
      </c>
      <c r="W17" s="265">
        <v>0</v>
      </c>
      <c r="X17" s="265">
        <v>11850</v>
      </c>
      <c r="Y17" s="265">
        <v>0</v>
      </c>
      <c r="Z17" s="265">
        <v>11850</v>
      </c>
      <c r="AA17" s="265">
        <v>0</v>
      </c>
      <c r="AB17" s="265">
        <v>11850</v>
      </c>
      <c r="AC17" s="265">
        <f>AD17-AB17</f>
        <v>-3</v>
      </c>
      <c r="AD17" s="265">
        <f>AE17</f>
        <v>11847</v>
      </c>
      <c r="AE17" s="265">
        <f>AG17+AL17+AP17+AU17+BA17+BB17+BE17+BF17</f>
        <v>11847</v>
      </c>
      <c r="AF17" s="265">
        <f t="shared" si="2"/>
        <v>11847</v>
      </c>
      <c r="AG17" s="255">
        <f>SUM(AH17:AK17)</f>
        <v>11847</v>
      </c>
      <c r="AH17" s="255">
        <v>11847</v>
      </c>
      <c r="AI17" s="255"/>
      <c r="AJ17" s="255"/>
      <c r="AK17" s="255"/>
      <c r="AL17" s="255">
        <f>SUM(AM17:AO17)</f>
        <v>0</v>
      </c>
      <c r="AM17" s="255"/>
      <c r="AN17" s="255"/>
      <c r="AO17" s="255"/>
      <c r="AP17" s="265">
        <f>SUM(AQ17:AT17)</f>
        <v>0</v>
      </c>
      <c r="AQ17" s="255"/>
      <c r="AR17" s="255"/>
      <c r="AS17" s="255"/>
      <c r="AT17" s="255"/>
      <c r="AU17" s="265">
        <f t="shared" si="10"/>
        <v>0</v>
      </c>
      <c r="AV17" s="265"/>
      <c r="AW17" s="265"/>
      <c r="AX17" s="255"/>
      <c r="AY17" s="255"/>
      <c r="AZ17" s="255"/>
      <c r="BA17" s="255"/>
      <c r="BB17" s="255"/>
      <c r="BC17" s="255"/>
      <c r="BD17" s="255"/>
      <c r="BE17" s="255"/>
      <c r="BF17" s="265">
        <f>SUM(BG17:BI17)</f>
        <v>0</v>
      </c>
      <c r="BG17" s="255"/>
      <c r="BH17" s="255"/>
      <c r="BI17" s="255"/>
      <c r="BJ17" s="259">
        <v>7883546</v>
      </c>
      <c r="BK17" s="259">
        <v>2022</v>
      </c>
      <c r="BL17" s="259">
        <v>2024</v>
      </c>
      <c r="BM17" s="259" t="s">
        <v>1648</v>
      </c>
      <c r="BN17" s="274">
        <v>12000</v>
      </c>
      <c r="BO17" s="274">
        <v>12000</v>
      </c>
      <c r="BP17" s="263"/>
      <c r="BQ17" s="263"/>
      <c r="BR17" s="263"/>
      <c r="BS17" s="263"/>
      <c r="BT17" s="263"/>
      <c r="BU17" s="263"/>
      <c r="BV17" s="263"/>
      <c r="BW17" s="263"/>
      <c r="BX17" s="263"/>
      <c r="BY17" s="263"/>
      <c r="BZ17" s="269">
        <f>SUM(CA17:CC17)</f>
        <v>2962</v>
      </c>
      <c r="CA17" s="263">
        <v>2962</v>
      </c>
      <c r="CB17" s="263"/>
      <c r="CC17" s="263"/>
      <c r="CD17" s="263"/>
      <c r="CE17" s="269">
        <f>SUM(CF17:CH17)</f>
        <v>2962</v>
      </c>
      <c r="CF17" s="263">
        <v>2962</v>
      </c>
      <c r="CG17" s="263"/>
      <c r="CH17" s="263"/>
      <c r="CI17" s="263"/>
      <c r="CJ17" s="268">
        <f>SUM(CK17:CS17)</f>
        <v>7025</v>
      </c>
      <c r="CK17" s="269">
        <v>7025</v>
      </c>
      <c r="CL17" s="269">
        <f>AI17-BR17-CB17</f>
        <v>0</v>
      </c>
      <c r="CM17" s="269">
        <f>AJ17-BS17-CC17</f>
        <v>0</v>
      </c>
      <c r="CN17" s="269"/>
      <c r="CO17" s="265"/>
      <c r="CP17" s="265"/>
      <c r="CQ17" s="255"/>
      <c r="CR17" s="255"/>
      <c r="CS17" s="255"/>
      <c r="CT17" s="265">
        <f>SUM(CU17:CW17)</f>
        <v>1860</v>
      </c>
      <c r="CU17" s="270">
        <f t="shared" si="11"/>
        <v>1860</v>
      </c>
      <c r="CV17" s="270">
        <f t="shared" si="11"/>
        <v>0</v>
      </c>
      <c r="CW17" s="270">
        <f t="shared" si="11"/>
        <v>0</v>
      </c>
      <c r="CX17" s="275"/>
      <c r="CY17" s="269"/>
      <c r="CZ17" s="272"/>
      <c r="DA17" s="272"/>
      <c r="DB17" s="272" t="s">
        <v>193</v>
      </c>
      <c r="DC17" s="272" t="s">
        <v>1649</v>
      </c>
      <c r="DD17" s="272" t="s">
        <v>79</v>
      </c>
      <c r="DE17" s="272" t="s">
        <v>1650</v>
      </c>
      <c r="DF17" s="272"/>
    </row>
    <row r="18" spans="1:110" s="247" customFormat="1" ht="33" customHeight="1" x14ac:dyDescent="0.25">
      <c r="A18" s="276"/>
      <c r="B18" s="277" t="s">
        <v>1651</v>
      </c>
      <c r="C18" s="241"/>
      <c r="D18" s="241"/>
      <c r="E18" s="253"/>
      <c r="F18" s="253"/>
      <c r="G18" s="278"/>
      <c r="H18" s="279"/>
      <c r="I18" s="254"/>
      <c r="J18" s="254"/>
      <c r="K18" s="254"/>
      <c r="L18" s="280"/>
      <c r="M18" s="280"/>
      <c r="N18" s="281"/>
      <c r="O18" s="281"/>
      <c r="P18" s="281"/>
      <c r="Q18" s="282"/>
      <c r="R18" s="254"/>
      <c r="S18" s="254"/>
      <c r="T18" s="283"/>
      <c r="U18" s="254"/>
      <c r="V18" s="254"/>
      <c r="W18" s="243"/>
      <c r="X18" s="243"/>
      <c r="Y18" s="243"/>
      <c r="Z18" s="243"/>
      <c r="AA18" s="243"/>
      <c r="AB18" s="243"/>
      <c r="AC18" s="243"/>
      <c r="AD18" s="243"/>
      <c r="AE18" s="243"/>
      <c r="AF18" s="243"/>
      <c r="AG18" s="254"/>
      <c r="AH18" s="254"/>
      <c r="AI18" s="254"/>
      <c r="AJ18" s="254"/>
      <c r="AK18" s="254"/>
      <c r="AL18" s="248"/>
      <c r="AM18" s="254"/>
      <c r="AN18" s="254"/>
      <c r="AO18" s="254"/>
      <c r="AP18" s="243"/>
      <c r="AQ18" s="254"/>
      <c r="AR18" s="254"/>
      <c r="AS18" s="254"/>
      <c r="AT18" s="254"/>
      <c r="AU18" s="243"/>
      <c r="AV18" s="243"/>
      <c r="AW18" s="243"/>
      <c r="AX18" s="254"/>
      <c r="AY18" s="254"/>
      <c r="AZ18" s="254"/>
      <c r="BA18" s="254"/>
      <c r="BB18" s="254"/>
      <c r="BC18" s="254"/>
      <c r="BD18" s="254"/>
      <c r="BE18" s="254"/>
      <c r="BF18" s="243"/>
      <c r="BG18" s="254"/>
      <c r="BH18" s="254"/>
      <c r="BI18" s="254"/>
      <c r="BJ18" s="284"/>
      <c r="BK18" s="241"/>
      <c r="BL18" s="241"/>
      <c r="BM18" s="285"/>
      <c r="BN18" s="279">
        <f>SUM(BN19:BN25)</f>
        <v>43784</v>
      </c>
      <c r="BO18" s="279">
        <f t="shared" ref="BO18:CY18" si="12">SUM(BO19:BO25)</f>
        <v>42119</v>
      </c>
      <c r="BP18" s="279">
        <f t="shared" si="12"/>
        <v>0</v>
      </c>
      <c r="BQ18" s="279">
        <f t="shared" si="12"/>
        <v>0</v>
      </c>
      <c r="BR18" s="279">
        <f t="shared" si="12"/>
        <v>0</v>
      </c>
      <c r="BS18" s="279">
        <f t="shared" si="12"/>
        <v>0</v>
      </c>
      <c r="BT18" s="279">
        <f t="shared" si="12"/>
        <v>0</v>
      </c>
      <c r="BU18" s="279">
        <f t="shared" si="12"/>
        <v>0</v>
      </c>
      <c r="BV18" s="279">
        <f t="shared" si="12"/>
        <v>0</v>
      </c>
      <c r="BW18" s="279">
        <f t="shared" si="12"/>
        <v>0</v>
      </c>
      <c r="BX18" s="279">
        <f t="shared" si="12"/>
        <v>0</v>
      </c>
      <c r="BY18" s="279">
        <f t="shared" si="12"/>
        <v>0</v>
      </c>
      <c r="BZ18" s="279">
        <f t="shared" si="12"/>
        <v>0</v>
      </c>
      <c r="CA18" s="279">
        <f t="shared" si="12"/>
        <v>0</v>
      </c>
      <c r="CB18" s="279">
        <f t="shared" si="12"/>
        <v>0</v>
      </c>
      <c r="CC18" s="279">
        <f t="shared" si="12"/>
        <v>0</v>
      </c>
      <c r="CD18" s="279">
        <f t="shared" si="12"/>
        <v>0</v>
      </c>
      <c r="CE18" s="279">
        <f t="shared" si="12"/>
        <v>0</v>
      </c>
      <c r="CF18" s="279">
        <f t="shared" si="12"/>
        <v>0</v>
      </c>
      <c r="CG18" s="279">
        <f t="shared" si="12"/>
        <v>0</v>
      </c>
      <c r="CH18" s="279">
        <f t="shared" si="12"/>
        <v>0</v>
      </c>
      <c r="CI18" s="279">
        <f t="shared" si="12"/>
        <v>0</v>
      </c>
      <c r="CJ18" s="279">
        <f t="shared" si="12"/>
        <v>7890</v>
      </c>
      <c r="CK18" s="279">
        <f t="shared" si="12"/>
        <v>0</v>
      </c>
      <c r="CL18" s="279">
        <f t="shared" si="12"/>
        <v>0</v>
      </c>
      <c r="CM18" s="279">
        <f t="shared" si="12"/>
        <v>100</v>
      </c>
      <c r="CN18" s="279">
        <f t="shared" si="12"/>
        <v>0</v>
      </c>
      <c r="CO18" s="279">
        <f t="shared" si="12"/>
        <v>0</v>
      </c>
      <c r="CP18" s="279">
        <f t="shared" si="12"/>
        <v>790</v>
      </c>
      <c r="CQ18" s="279">
        <f t="shared" si="12"/>
        <v>0</v>
      </c>
      <c r="CR18" s="279">
        <f t="shared" si="12"/>
        <v>7000</v>
      </c>
      <c r="CS18" s="279">
        <f t="shared" si="12"/>
        <v>0</v>
      </c>
      <c r="CT18" s="279">
        <f t="shared" si="12"/>
        <v>20143</v>
      </c>
      <c r="CU18" s="279">
        <f t="shared" si="12"/>
        <v>0</v>
      </c>
      <c r="CV18" s="279">
        <f t="shared" si="12"/>
        <v>0</v>
      </c>
      <c r="CW18" s="279">
        <f t="shared" si="12"/>
        <v>20143</v>
      </c>
      <c r="CX18" s="279">
        <f t="shared" si="12"/>
        <v>0</v>
      </c>
      <c r="CY18" s="279">
        <f t="shared" si="12"/>
        <v>0</v>
      </c>
      <c r="CZ18" s="286"/>
      <c r="DA18" s="286"/>
      <c r="DB18" s="224"/>
      <c r="DC18" s="224"/>
      <c r="DD18" s="287"/>
      <c r="DE18" s="224"/>
      <c r="DF18" s="246"/>
    </row>
    <row r="19" spans="1:110" ht="33.75" customHeight="1" x14ac:dyDescent="0.25">
      <c r="A19" s="257" t="s">
        <v>1042</v>
      </c>
      <c r="B19" s="288" t="s">
        <v>1652</v>
      </c>
      <c r="C19" s="259"/>
      <c r="D19" s="259"/>
      <c r="E19" s="259">
        <v>2023</v>
      </c>
      <c r="F19" s="259">
        <v>2025</v>
      </c>
      <c r="G19" s="259" t="s">
        <v>1653</v>
      </c>
      <c r="H19" s="289">
        <v>10431</v>
      </c>
      <c r="I19" s="289">
        <v>9373</v>
      </c>
      <c r="J19" s="269"/>
      <c r="K19" s="269"/>
      <c r="L19" s="269"/>
      <c r="M19" s="269"/>
      <c r="N19" s="290"/>
      <c r="O19" s="290"/>
      <c r="P19" s="290"/>
      <c r="Q19" s="269"/>
      <c r="R19" s="269"/>
      <c r="S19" s="269"/>
      <c r="T19" s="269"/>
      <c r="U19" s="269"/>
      <c r="V19" s="269"/>
      <c r="W19" s="265">
        <v>9373</v>
      </c>
      <c r="X19" s="265">
        <v>9373</v>
      </c>
      <c r="Y19" s="265">
        <v>0</v>
      </c>
      <c r="Z19" s="265">
        <v>9373</v>
      </c>
      <c r="AA19" s="265">
        <v>0</v>
      </c>
      <c r="AB19" s="265">
        <v>9373</v>
      </c>
      <c r="AC19" s="265">
        <f t="shared" si="4"/>
        <v>0</v>
      </c>
      <c r="AD19" s="265">
        <f t="shared" ref="AD19:AD25" si="13">AE19</f>
        <v>9373</v>
      </c>
      <c r="AE19" s="265">
        <f t="shared" ref="AE19:AE25" si="14">AG19+AL19+AP19+AU19+BA19+BB19+BE19+BF19</f>
        <v>9373</v>
      </c>
      <c r="AF19" s="265">
        <f t="shared" ref="AF19:AF25" si="15">AG19+AL19+AP19+AU19+BA19</f>
        <v>9373</v>
      </c>
      <c r="AG19" s="255">
        <f>AJ19</f>
        <v>7673</v>
      </c>
      <c r="AH19" s="255"/>
      <c r="AI19" s="255"/>
      <c r="AJ19" s="289">
        <v>7673</v>
      </c>
      <c r="AK19" s="255"/>
      <c r="AL19" s="255"/>
      <c r="AM19" s="255"/>
      <c r="AN19" s="255"/>
      <c r="AO19" s="255"/>
      <c r="AP19" s="265"/>
      <c r="AQ19" s="255"/>
      <c r="AR19" s="255"/>
      <c r="AS19" s="255"/>
      <c r="AT19" s="255"/>
      <c r="AU19" s="265">
        <f t="shared" si="10"/>
        <v>1700</v>
      </c>
      <c r="AV19" s="265"/>
      <c r="AW19" s="265"/>
      <c r="AX19" s="255"/>
      <c r="AY19" s="255">
        <v>1700</v>
      </c>
      <c r="AZ19" s="255"/>
      <c r="BA19" s="255"/>
      <c r="BB19" s="255"/>
      <c r="BC19" s="255"/>
      <c r="BD19" s="255"/>
      <c r="BE19" s="255"/>
      <c r="BF19" s="265"/>
      <c r="BG19" s="255"/>
      <c r="BH19" s="255"/>
      <c r="BI19" s="255"/>
      <c r="BJ19" s="291"/>
      <c r="BK19" s="292" t="s">
        <v>1654</v>
      </c>
      <c r="BL19" s="292" t="s">
        <v>1655</v>
      </c>
      <c r="BM19" s="293" t="s">
        <v>1656</v>
      </c>
      <c r="BN19" s="294">
        <v>10431</v>
      </c>
      <c r="BO19" s="294">
        <v>9373</v>
      </c>
      <c r="BP19" s="295"/>
      <c r="BQ19" s="295"/>
      <c r="BR19" s="295"/>
      <c r="BS19" s="295"/>
      <c r="BT19" s="295"/>
      <c r="BU19" s="295"/>
      <c r="BV19" s="295"/>
      <c r="BW19" s="295"/>
      <c r="BX19" s="295"/>
      <c r="BY19" s="295"/>
      <c r="BZ19" s="269"/>
      <c r="CA19" s="295"/>
      <c r="CB19" s="295"/>
      <c r="CC19" s="295"/>
      <c r="CD19" s="295"/>
      <c r="CE19" s="269"/>
      <c r="CF19" s="295"/>
      <c r="CG19" s="295"/>
      <c r="CH19" s="295"/>
      <c r="CI19" s="295"/>
      <c r="CJ19" s="268">
        <f t="shared" ref="CJ19:CJ25" si="16">SUM(CK19:CS19)</f>
        <v>1800</v>
      </c>
      <c r="CK19" s="269"/>
      <c r="CL19" s="269"/>
      <c r="CM19" s="269">
        <v>100</v>
      </c>
      <c r="CN19" s="275"/>
      <c r="CO19" s="265"/>
      <c r="CP19" s="265"/>
      <c r="CQ19" s="255"/>
      <c r="CR19" s="269">
        <v>1700</v>
      </c>
      <c r="CS19" s="255"/>
      <c r="CT19" s="265">
        <f t="shared" ref="CT19:CT25" si="17">SUM(CU19:CW19)</f>
        <v>3800</v>
      </c>
      <c r="CU19" s="270">
        <f t="shared" ref="CU19:CV25" si="18">AH19-BQ19-CA19-CK19</f>
        <v>0</v>
      </c>
      <c r="CV19" s="270">
        <f t="shared" si="18"/>
        <v>0</v>
      </c>
      <c r="CW19" s="270">
        <v>3800</v>
      </c>
      <c r="CX19" s="275"/>
      <c r="CY19" s="270"/>
      <c r="CZ19" s="296"/>
      <c r="DA19" s="296"/>
      <c r="DB19" s="272"/>
      <c r="DC19" s="272"/>
      <c r="DD19" s="271"/>
      <c r="DE19" s="272"/>
      <c r="DF19" s="297"/>
    </row>
    <row r="20" spans="1:110" ht="39" customHeight="1" x14ac:dyDescent="0.25">
      <c r="A20" s="257" t="s">
        <v>1043</v>
      </c>
      <c r="B20" s="288" t="s">
        <v>1657</v>
      </c>
      <c r="C20" s="259"/>
      <c r="D20" s="259"/>
      <c r="E20" s="259">
        <v>2023</v>
      </c>
      <c r="F20" s="259">
        <v>2025</v>
      </c>
      <c r="G20" s="259" t="s">
        <v>1658</v>
      </c>
      <c r="H20" s="289">
        <v>9980</v>
      </c>
      <c r="I20" s="289">
        <v>9373</v>
      </c>
      <c r="J20" s="269"/>
      <c r="K20" s="269"/>
      <c r="L20" s="269"/>
      <c r="M20" s="269"/>
      <c r="N20" s="290"/>
      <c r="O20" s="290"/>
      <c r="P20" s="290"/>
      <c r="Q20" s="269"/>
      <c r="R20" s="269"/>
      <c r="S20" s="269"/>
      <c r="T20" s="269"/>
      <c r="U20" s="269"/>
      <c r="V20" s="269"/>
      <c r="W20" s="265">
        <v>9373</v>
      </c>
      <c r="X20" s="265">
        <v>9373</v>
      </c>
      <c r="Y20" s="265">
        <v>0</v>
      </c>
      <c r="Z20" s="265">
        <v>9373</v>
      </c>
      <c r="AA20" s="265">
        <v>0</v>
      </c>
      <c r="AB20" s="265">
        <v>9373</v>
      </c>
      <c r="AC20" s="265">
        <f t="shared" si="4"/>
        <v>0</v>
      </c>
      <c r="AD20" s="265">
        <f t="shared" si="13"/>
        <v>9373</v>
      </c>
      <c r="AE20" s="265">
        <f t="shared" si="14"/>
        <v>9373</v>
      </c>
      <c r="AF20" s="265">
        <f t="shared" si="15"/>
        <v>9373</v>
      </c>
      <c r="AG20" s="255">
        <f>AJ20</f>
        <v>7473</v>
      </c>
      <c r="AH20" s="255"/>
      <c r="AI20" s="255"/>
      <c r="AJ20" s="289">
        <v>7473</v>
      </c>
      <c r="AK20" s="255"/>
      <c r="AL20" s="255"/>
      <c r="AM20" s="255"/>
      <c r="AN20" s="255"/>
      <c r="AO20" s="255"/>
      <c r="AP20" s="265"/>
      <c r="AQ20" s="255"/>
      <c r="AR20" s="255"/>
      <c r="AS20" s="255"/>
      <c r="AT20" s="255"/>
      <c r="AU20" s="265">
        <f t="shared" si="10"/>
        <v>1900</v>
      </c>
      <c r="AV20" s="265"/>
      <c r="AW20" s="265"/>
      <c r="AX20" s="255"/>
      <c r="AY20" s="255">
        <v>1900</v>
      </c>
      <c r="AZ20" s="255"/>
      <c r="BA20" s="255"/>
      <c r="BB20" s="255"/>
      <c r="BC20" s="255"/>
      <c r="BD20" s="255"/>
      <c r="BE20" s="255"/>
      <c r="BF20" s="265"/>
      <c r="BG20" s="255"/>
      <c r="BH20" s="255"/>
      <c r="BI20" s="255"/>
      <c r="BJ20" s="291"/>
      <c r="BK20" s="292" t="s">
        <v>1654</v>
      </c>
      <c r="BL20" s="292" t="s">
        <v>1655</v>
      </c>
      <c r="BM20" s="293" t="s">
        <v>1659</v>
      </c>
      <c r="BN20" s="294">
        <v>9980</v>
      </c>
      <c r="BO20" s="294">
        <v>9373</v>
      </c>
      <c r="BP20" s="295"/>
      <c r="BQ20" s="295"/>
      <c r="BR20" s="295"/>
      <c r="BS20" s="295"/>
      <c r="BT20" s="295"/>
      <c r="BU20" s="295"/>
      <c r="BV20" s="295"/>
      <c r="BW20" s="295"/>
      <c r="BX20" s="295"/>
      <c r="BY20" s="295"/>
      <c r="BZ20" s="269"/>
      <c r="CA20" s="295"/>
      <c r="CB20" s="295"/>
      <c r="CC20" s="295"/>
      <c r="CD20" s="295"/>
      <c r="CE20" s="269"/>
      <c r="CF20" s="295"/>
      <c r="CG20" s="295"/>
      <c r="CH20" s="295"/>
      <c r="CI20" s="295"/>
      <c r="CJ20" s="268">
        <f t="shared" si="16"/>
        <v>1900</v>
      </c>
      <c r="CK20" s="269"/>
      <c r="CL20" s="269"/>
      <c r="CM20" s="269"/>
      <c r="CN20" s="275"/>
      <c r="CO20" s="265"/>
      <c r="CP20" s="265"/>
      <c r="CQ20" s="255"/>
      <c r="CR20" s="269">
        <v>1900</v>
      </c>
      <c r="CS20" s="255"/>
      <c r="CT20" s="265">
        <f t="shared" si="17"/>
        <v>3700</v>
      </c>
      <c r="CU20" s="270">
        <f t="shared" si="18"/>
        <v>0</v>
      </c>
      <c r="CV20" s="270">
        <f t="shared" si="18"/>
        <v>0</v>
      </c>
      <c r="CW20" s="270">
        <v>3700</v>
      </c>
      <c r="CX20" s="275"/>
      <c r="CY20" s="270"/>
      <c r="CZ20" s="296"/>
      <c r="DA20" s="296"/>
      <c r="DB20" s="272"/>
      <c r="DC20" s="272"/>
      <c r="DD20" s="271"/>
      <c r="DE20" s="272"/>
      <c r="DF20" s="297"/>
    </row>
    <row r="21" spans="1:110" ht="33.75" customHeight="1" x14ac:dyDescent="0.25">
      <c r="A21" s="257" t="s">
        <v>1044</v>
      </c>
      <c r="B21" s="288" t="s">
        <v>1660</v>
      </c>
      <c r="C21" s="259"/>
      <c r="D21" s="259"/>
      <c r="E21" s="259">
        <v>2023</v>
      </c>
      <c r="F21" s="259">
        <v>2025</v>
      </c>
      <c r="G21" s="259" t="s">
        <v>1661</v>
      </c>
      <c r="H21" s="289">
        <f>I21</f>
        <v>6000</v>
      </c>
      <c r="I21" s="289">
        <v>6000</v>
      </c>
      <c r="J21" s="269"/>
      <c r="K21" s="269"/>
      <c r="L21" s="269"/>
      <c r="M21" s="269"/>
      <c r="N21" s="290"/>
      <c r="O21" s="290"/>
      <c r="P21" s="290"/>
      <c r="Q21" s="269"/>
      <c r="R21" s="269"/>
      <c r="S21" s="269"/>
      <c r="T21" s="269"/>
      <c r="U21" s="269"/>
      <c r="V21" s="269"/>
      <c r="W21" s="265">
        <v>6000</v>
      </c>
      <c r="X21" s="265">
        <v>6000</v>
      </c>
      <c r="Y21" s="265">
        <v>0</v>
      </c>
      <c r="Z21" s="265">
        <v>6000</v>
      </c>
      <c r="AA21" s="265">
        <v>0</v>
      </c>
      <c r="AB21" s="265">
        <v>6000</v>
      </c>
      <c r="AC21" s="265">
        <f t="shared" si="4"/>
        <v>0</v>
      </c>
      <c r="AD21" s="265">
        <f t="shared" si="13"/>
        <v>6000</v>
      </c>
      <c r="AE21" s="265">
        <f t="shared" si="14"/>
        <v>6000</v>
      </c>
      <c r="AF21" s="265">
        <f t="shared" si="15"/>
        <v>6000</v>
      </c>
      <c r="AG21" s="255">
        <f>AJ21</f>
        <v>4800</v>
      </c>
      <c r="AH21" s="255"/>
      <c r="AI21" s="255"/>
      <c r="AJ21" s="289">
        <v>4800</v>
      </c>
      <c r="AK21" s="255"/>
      <c r="AL21" s="255"/>
      <c r="AM21" s="255"/>
      <c r="AN21" s="255"/>
      <c r="AO21" s="255"/>
      <c r="AP21" s="265"/>
      <c r="AQ21" s="255"/>
      <c r="AR21" s="255"/>
      <c r="AS21" s="255"/>
      <c r="AT21" s="255"/>
      <c r="AU21" s="265">
        <f t="shared" si="10"/>
        <v>1200</v>
      </c>
      <c r="AV21" s="265"/>
      <c r="AW21" s="265"/>
      <c r="AX21" s="255"/>
      <c r="AY21" s="255">
        <v>1200</v>
      </c>
      <c r="AZ21" s="255"/>
      <c r="BA21" s="255"/>
      <c r="BB21" s="255"/>
      <c r="BC21" s="255"/>
      <c r="BD21" s="255"/>
      <c r="BE21" s="255"/>
      <c r="BF21" s="265"/>
      <c r="BG21" s="255"/>
      <c r="BH21" s="255"/>
      <c r="BI21" s="255"/>
      <c r="BJ21" s="291"/>
      <c r="BK21" s="292" t="s">
        <v>1654</v>
      </c>
      <c r="BL21" s="292" t="s">
        <v>1655</v>
      </c>
      <c r="BM21" s="293" t="s">
        <v>1662</v>
      </c>
      <c r="BN21" s="294">
        <f>BO21</f>
        <v>6000</v>
      </c>
      <c r="BO21" s="294">
        <v>6000</v>
      </c>
      <c r="BP21" s="295"/>
      <c r="BQ21" s="295"/>
      <c r="BR21" s="295"/>
      <c r="BS21" s="295"/>
      <c r="BT21" s="295"/>
      <c r="BU21" s="295"/>
      <c r="BV21" s="295"/>
      <c r="BW21" s="295"/>
      <c r="BX21" s="295"/>
      <c r="BY21" s="295"/>
      <c r="BZ21" s="269"/>
      <c r="CA21" s="295"/>
      <c r="CB21" s="295"/>
      <c r="CC21" s="295"/>
      <c r="CD21" s="295"/>
      <c r="CE21" s="269"/>
      <c r="CF21" s="295"/>
      <c r="CG21" s="295"/>
      <c r="CH21" s="295"/>
      <c r="CI21" s="295"/>
      <c r="CJ21" s="268">
        <f t="shared" si="16"/>
        <v>1200</v>
      </c>
      <c r="CK21" s="269"/>
      <c r="CL21" s="269"/>
      <c r="CM21" s="269"/>
      <c r="CN21" s="275"/>
      <c r="CO21" s="265"/>
      <c r="CP21" s="265"/>
      <c r="CQ21" s="255"/>
      <c r="CR21" s="298">
        <v>1200</v>
      </c>
      <c r="CS21" s="255"/>
      <c r="CT21" s="265">
        <f t="shared" si="17"/>
        <v>2400</v>
      </c>
      <c r="CU21" s="270">
        <f t="shared" si="18"/>
        <v>0</v>
      </c>
      <c r="CV21" s="270">
        <f t="shared" si="18"/>
        <v>0</v>
      </c>
      <c r="CW21" s="270">
        <v>2400</v>
      </c>
      <c r="CX21" s="275"/>
      <c r="CY21" s="270"/>
      <c r="CZ21" s="296"/>
      <c r="DA21" s="296"/>
      <c r="DB21" s="272"/>
      <c r="DC21" s="272"/>
      <c r="DD21" s="271"/>
      <c r="DE21" s="272"/>
      <c r="DF21" s="297"/>
    </row>
    <row r="22" spans="1:110" ht="36" customHeight="1" x14ac:dyDescent="0.25">
      <c r="A22" s="257" t="s">
        <v>1045</v>
      </c>
      <c r="B22" s="288" t="s">
        <v>1663</v>
      </c>
      <c r="C22" s="259"/>
      <c r="D22" s="259"/>
      <c r="E22" s="259">
        <v>2023</v>
      </c>
      <c r="F22" s="259">
        <v>2025</v>
      </c>
      <c r="G22" s="259" t="s">
        <v>1664</v>
      </c>
      <c r="H22" s="289">
        <f>I22</f>
        <v>9373</v>
      </c>
      <c r="I22" s="289">
        <v>9373</v>
      </c>
      <c r="J22" s="269"/>
      <c r="K22" s="269"/>
      <c r="L22" s="269"/>
      <c r="M22" s="269"/>
      <c r="N22" s="290"/>
      <c r="O22" s="290"/>
      <c r="P22" s="290"/>
      <c r="Q22" s="269"/>
      <c r="R22" s="269"/>
      <c r="S22" s="269"/>
      <c r="T22" s="269"/>
      <c r="U22" s="269"/>
      <c r="V22" s="269"/>
      <c r="W22" s="265">
        <v>9373</v>
      </c>
      <c r="X22" s="265">
        <v>9373</v>
      </c>
      <c r="Y22" s="265">
        <v>0</v>
      </c>
      <c r="Z22" s="265">
        <v>9373</v>
      </c>
      <c r="AA22" s="265">
        <v>0</v>
      </c>
      <c r="AB22" s="265">
        <v>9373</v>
      </c>
      <c r="AC22" s="265">
        <f t="shared" si="4"/>
        <v>0</v>
      </c>
      <c r="AD22" s="265">
        <f t="shared" si="13"/>
        <v>9373</v>
      </c>
      <c r="AE22" s="265">
        <f t="shared" si="14"/>
        <v>9373</v>
      </c>
      <c r="AF22" s="265">
        <f t="shared" si="15"/>
        <v>9373</v>
      </c>
      <c r="AG22" s="255">
        <f>AJ22</f>
        <v>7173</v>
      </c>
      <c r="AH22" s="255"/>
      <c r="AI22" s="255"/>
      <c r="AJ22" s="289">
        <v>7173</v>
      </c>
      <c r="AK22" s="255"/>
      <c r="AL22" s="255"/>
      <c r="AM22" s="255"/>
      <c r="AN22" s="255"/>
      <c r="AO22" s="255"/>
      <c r="AP22" s="265"/>
      <c r="AQ22" s="255"/>
      <c r="AR22" s="255"/>
      <c r="AS22" s="255"/>
      <c r="AT22" s="255"/>
      <c r="AU22" s="265">
        <f t="shared" si="10"/>
        <v>2200</v>
      </c>
      <c r="AV22" s="265"/>
      <c r="AW22" s="265"/>
      <c r="AX22" s="255"/>
      <c r="AY22" s="255">
        <v>2200</v>
      </c>
      <c r="AZ22" s="255"/>
      <c r="BA22" s="255"/>
      <c r="BB22" s="255"/>
      <c r="BC22" s="255"/>
      <c r="BD22" s="255"/>
      <c r="BE22" s="255"/>
      <c r="BF22" s="265"/>
      <c r="BG22" s="255"/>
      <c r="BH22" s="255"/>
      <c r="BI22" s="255"/>
      <c r="BJ22" s="291"/>
      <c r="BK22" s="292" t="s">
        <v>1654</v>
      </c>
      <c r="BL22" s="292" t="s">
        <v>1655</v>
      </c>
      <c r="BM22" s="259" t="s">
        <v>1665</v>
      </c>
      <c r="BN22" s="294">
        <f>BO22</f>
        <v>9373</v>
      </c>
      <c r="BO22" s="294">
        <v>9373</v>
      </c>
      <c r="BP22" s="295"/>
      <c r="BQ22" s="295"/>
      <c r="BR22" s="295"/>
      <c r="BS22" s="295"/>
      <c r="BT22" s="295"/>
      <c r="BU22" s="295"/>
      <c r="BV22" s="295"/>
      <c r="BW22" s="295"/>
      <c r="BX22" s="295"/>
      <c r="BY22" s="295"/>
      <c r="BZ22" s="269"/>
      <c r="CA22" s="295"/>
      <c r="CB22" s="295"/>
      <c r="CC22" s="295"/>
      <c r="CD22" s="295"/>
      <c r="CE22" s="269"/>
      <c r="CF22" s="295"/>
      <c r="CG22" s="295"/>
      <c r="CH22" s="295"/>
      <c r="CI22" s="295"/>
      <c r="CJ22" s="268">
        <f t="shared" si="16"/>
        <v>2200</v>
      </c>
      <c r="CK22" s="269"/>
      <c r="CL22" s="269"/>
      <c r="CM22" s="269"/>
      <c r="CN22" s="275"/>
      <c r="CO22" s="265"/>
      <c r="CP22" s="265"/>
      <c r="CQ22" s="255"/>
      <c r="CR22" s="289">
        <v>2200</v>
      </c>
      <c r="CS22" s="255"/>
      <c r="CT22" s="265">
        <f t="shared" si="17"/>
        <v>3400</v>
      </c>
      <c r="CU22" s="270">
        <f t="shared" si="18"/>
        <v>0</v>
      </c>
      <c r="CV22" s="270">
        <f t="shared" si="18"/>
        <v>0</v>
      </c>
      <c r="CW22" s="270">
        <v>3400</v>
      </c>
      <c r="CX22" s="275"/>
      <c r="CY22" s="270"/>
      <c r="CZ22" s="296"/>
      <c r="DA22" s="296"/>
      <c r="DB22" s="272"/>
      <c r="DC22" s="272"/>
      <c r="DD22" s="271"/>
      <c r="DE22" s="272"/>
      <c r="DF22" s="297"/>
    </row>
    <row r="23" spans="1:110" ht="41.25" customHeight="1" x14ac:dyDescent="0.25">
      <c r="A23" s="257" t="s">
        <v>1046</v>
      </c>
      <c r="B23" s="258" t="s">
        <v>1666</v>
      </c>
      <c r="C23" s="272"/>
      <c r="D23" s="291"/>
      <c r="E23" s="261">
        <v>2023</v>
      </c>
      <c r="F23" s="261">
        <v>2025</v>
      </c>
      <c r="G23" s="44" t="s">
        <v>1667</v>
      </c>
      <c r="H23" s="299">
        <v>1400</v>
      </c>
      <c r="I23" s="295">
        <v>1400</v>
      </c>
      <c r="J23" s="269"/>
      <c r="K23" s="269"/>
      <c r="L23" s="269"/>
      <c r="M23" s="269"/>
      <c r="N23" s="290"/>
      <c r="O23" s="290"/>
      <c r="P23" s="290"/>
      <c r="Q23" s="269"/>
      <c r="R23" s="269"/>
      <c r="S23" s="269"/>
      <c r="T23" s="269"/>
      <c r="U23" s="269"/>
      <c r="V23" s="269">
        <v>1400</v>
      </c>
      <c r="W23" s="265">
        <v>0</v>
      </c>
      <c r="X23" s="265">
        <v>1400</v>
      </c>
      <c r="Y23" s="265">
        <v>0</v>
      </c>
      <c r="Z23" s="265">
        <v>1400</v>
      </c>
      <c r="AA23" s="265">
        <v>0</v>
      </c>
      <c r="AB23" s="265">
        <v>1400</v>
      </c>
      <c r="AC23" s="265">
        <f t="shared" si="4"/>
        <v>0</v>
      </c>
      <c r="AD23" s="265">
        <f t="shared" si="13"/>
        <v>1400</v>
      </c>
      <c r="AE23" s="265">
        <f t="shared" si="14"/>
        <v>1400</v>
      </c>
      <c r="AF23" s="265">
        <f t="shared" si="15"/>
        <v>1400</v>
      </c>
      <c r="AG23" s="255">
        <f>SUM(AH23:AK23)</f>
        <v>1260</v>
      </c>
      <c r="AH23" s="255"/>
      <c r="AI23" s="255"/>
      <c r="AJ23" s="298">
        <v>1260</v>
      </c>
      <c r="AK23" s="255"/>
      <c r="AL23" s="255"/>
      <c r="AM23" s="255"/>
      <c r="AN23" s="255"/>
      <c r="AO23" s="255"/>
      <c r="AP23" s="265"/>
      <c r="AQ23" s="255"/>
      <c r="AR23" s="255"/>
      <c r="AS23" s="255"/>
      <c r="AT23" s="255"/>
      <c r="AU23" s="265">
        <f t="shared" si="10"/>
        <v>140</v>
      </c>
      <c r="AV23" s="265"/>
      <c r="AW23" s="265">
        <v>140</v>
      </c>
      <c r="AX23" s="255"/>
      <c r="AY23" s="255"/>
      <c r="AZ23" s="255"/>
      <c r="BA23" s="255"/>
      <c r="BB23" s="255"/>
      <c r="BC23" s="255"/>
      <c r="BD23" s="255"/>
      <c r="BE23" s="255"/>
      <c r="BF23" s="265"/>
      <c r="BG23" s="255"/>
      <c r="BH23" s="255"/>
      <c r="BI23" s="300"/>
      <c r="BJ23" s="291"/>
      <c r="BK23" s="301">
        <v>2023</v>
      </c>
      <c r="BL23" s="301">
        <v>2025</v>
      </c>
      <c r="BM23" s="293" t="s">
        <v>1668</v>
      </c>
      <c r="BN23" s="299">
        <v>1400</v>
      </c>
      <c r="BO23" s="295">
        <v>1400</v>
      </c>
      <c r="BP23" s="295"/>
      <c r="BQ23" s="295"/>
      <c r="BR23" s="295"/>
      <c r="BS23" s="295"/>
      <c r="BT23" s="295"/>
      <c r="BU23" s="295"/>
      <c r="BV23" s="295"/>
      <c r="BW23" s="295"/>
      <c r="BX23" s="295"/>
      <c r="BY23" s="295"/>
      <c r="BZ23" s="269"/>
      <c r="CA23" s="295"/>
      <c r="CB23" s="295"/>
      <c r="CC23" s="295"/>
      <c r="CD23" s="295"/>
      <c r="CE23" s="269"/>
      <c r="CF23" s="295"/>
      <c r="CG23" s="295"/>
      <c r="CH23" s="295"/>
      <c r="CI23" s="295"/>
      <c r="CJ23" s="268">
        <f t="shared" si="16"/>
        <v>140</v>
      </c>
      <c r="CK23" s="269"/>
      <c r="CL23" s="269"/>
      <c r="CM23" s="269"/>
      <c r="CN23" s="275"/>
      <c r="CO23" s="265"/>
      <c r="CP23" s="265">
        <v>140</v>
      </c>
      <c r="CQ23" s="255"/>
      <c r="CR23" s="255"/>
      <c r="CS23" s="255"/>
      <c r="CT23" s="265">
        <f t="shared" si="17"/>
        <v>1240</v>
      </c>
      <c r="CU23" s="270">
        <f t="shared" si="18"/>
        <v>0</v>
      </c>
      <c r="CV23" s="270">
        <f t="shared" si="18"/>
        <v>0</v>
      </c>
      <c r="CW23" s="270">
        <v>1240</v>
      </c>
      <c r="CX23" s="275"/>
      <c r="CY23" s="270"/>
      <c r="CZ23" s="272"/>
      <c r="DA23" s="272"/>
      <c r="DB23" s="272"/>
      <c r="DC23" s="272"/>
      <c r="DD23" s="271"/>
      <c r="DE23" s="271"/>
      <c r="DF23" s="297"/>
    </row>
    <row r="24" spans="1:110" ht="34.5" customHeight="1" x14ac:dyDescent="0.25">
      <c r="A24" s="257" t="s">
        <v>1047</v>
      </c>
      <c r="B24" s="258" t="s">
        <v>1669</v>
      </c>
      <c r="C24" s="272"/>
      <c r="D24" s="291"/>
      <c r="E24" s="261">
        <v>2023</v>
      </c>
      <c r="F24" s="261">
        <v>2025</v>
      </c>
      <c r="G24" s="44" t="s">
        <v>1670</v>
      </c>
      <c r="H24" s="299">
        <v>1600</v>
      </c>
      <c r="I24" s="295">
        <v>1600</v>
      </c>
      <c r="J24" s="269"/>
      <c r="K24" s="269"/>
      <c r="L24" s="269"/>
      <c r="M24" s="269"/>
      <c r="N24" s="290"/>
      <c r="O24" s="290"/>
      <c r="P24" s="290"/>
      <c r="Q24" s="269"/>
      <c r="R24" s="269"/>
      <c r="S24" s="269"/>
      <c r="T24" s="269"/>
      <c r="U24" s="269"/>
      <c r="V24" s="269">
        <v>1600</v>
      </c>
      <c r="W24" s="265">
        <v>0</v>
      </c>
      <c r="X24" s="265">
        <v>1600</v>
      </c>
      <c r="Y24" s="265">
        <v>0</v>
      </c>
      <c r="Z24" s="265">
        <v>1600</v>
      </c>
      <c r="AA24" s="265">
        <v>0</v>
      </c>
      <c r="AB24" s="265">
        <v>1600</v>
      </c>
      <c r="AC24" s="265">
        <f t="shared" si="4"/>
        <v>0</v>
      </c>
      <c r="AD24" s="265">
        <f t="shared" si="13"/>
        <v>1600</v>
      </c>
      <c r="AE24" s="265">
        <f t="shared" si="14"/>
        <v>1600</v>
      </c>
      <c r="AF24" s="265">
        <f t="shared" si="15"/>
        <v>1600</v>
      </c>
      <c r="AG24" s="255">
        <f>SUM(AH24:AK24)</f>
        <v>1450</v>
      </c>
      <c r="AH24" s="255"/>
      <c r="AI24" s="255"/>
      <c r="AJ24" s="298">
        <v>1450</v>
      </c>
      <c r="AK24" s="255"/>
      <c r="AL24" s="255"/>
      <c r="AM24" s="255"/>
      <c r="AN24" s="255"/>
      <c r="AO24" s="255"/>
      <c r="AP24" s="265"/>
      <c r="AQ24" s="255"/>
      <c r="AR24" s="255"/>
      <c r="AS24" s="255"/>
      <c r="AT24" s="255"/>
      <c r="AU24" s="265">
        <f t="shared" si="10"/>
        <v>150</v>
      </c>
      <c r="AV24" s="265"/>
      <c r="AW24" s="265">
        <v>150</v>
      </c>
      <c r="AX24" s="255"/>
      <c r="AY24" s="255"/>
      <c r="AZ24" s="255"/>
      <c r="BA24" s="255"/>
      <c r="BB24" s="255"/>
      <c r="BC24" s="255"/>
      <c r="BD24" s="255"/>
      <c r="BE24" s="255"/>
      <c r="BF24" s="265"/>
      <c r="BG24" s="255"/>
      <c r="BH24" s="255"/>
      <c r="BI24" s="300"/>
      <c r="BJ24" s="291"/>
      <c r="BK24" s="301">
        <v>2023</v>
      </c>
      <c r="BL24" s="301">
        <v>2025</v>
      </c>
      <c r="BM24" s="293" t="s">
        <v>1671</v>
      </c>
      <c r="BN24" s="299">
        <v>1600</v>
      </c>
      <c r="BO24" s="295">
        <v>1600</v>
      </c>
      <c r="BP24" s="295"/>
      <c r="BQ24" s="295"/>
      <c r="BR24" s="295"/>
      <c r="BS24" s="295"/>
      <c r="BT24" s="295"/>
      <c r="BU24" s="295"/>
      <c r="BV24" s="295"/>
      <c r="BW24" s="295"/>
      <c r="BX24" s="295"/>
      <c r="BY24" s="295"/>
      <c r="BZ24" s="269"/>
      <c r="CA24" s="295"/>
      <c r="CB24" s="295"/>
      <c r="CC24" s="295"/>
      <c r="CD24" s="295"/>
      <c r="CE24" s="269"/>
      <c r="CF24" s="295"/>
      <c r="CG24" s="295"/>
      <c r="CH24" s="295"/>
      <c r="CI24" s="295"/>
      <c r="CJ24" s="268">
        <f t="shared" si="16"/>
        <v>150</v>
      </c>
      <c r="CK24" s="269"/>
      <c r="CL24" s="269"/>
      <c r="CM24" s="269"/>
      <c r="CN24" s="275"/>
      <c r="CO24" s="265"/>
      <c r="CP24" s="265">
        <v>150</v>
      </c>
      <c r="CQ24" s="255"/>
      <c r="CR24" s="255"/>
      <c r="CS24" s="255"/>
      <c r="CT24" s="265">
        <f t="shared" si="17"/>
        <v>1260</v>
      </c>
      <c r="CU24" s="270">
        <f t="shared" si="18"/>
        <v>0</v>
      </c>
      <c r="CV24" s="270">
        <f t="shared" si="18"/>
        <v>0</v>
      </c>
      <c r="CW24" s="270">
        <v>1260</v>
      </c>
      <c r="CX24" s="275"/>
      <c r="CY24" s="270"/>
      <c r="CZ24" s="272"/>
      <c r="DA24" s="272"/>
      <c r="DB24" s="272"/>
      <c r="DC24" s="272"/>
      <c r="DD24" s="271"/>
      <c r="DE24" s="271"/>
      <c r="DF24" s="297"/>
    </row>
    <row r="25" spans="1:110" ht="37.5" customHeight="1" x14ac:dyDescent="0.25">
      <c r="A25" s="257" t="s">
        <v>1048</v>
      </c>
      <c r="B25" s="258" t="s">
        <v>1672</v>
      </c>
      <c r="C25" s="272"/>
      <c r="D25" s="291"/>
      <c r="E25" s="261">
        <v>2023</v>
      </c>
      <c r="F25" s="261">
        <v>2025</v>
      </c>
      <c r="G25" s="44" t="s">
        <v>1673</v>
      </c>
      <c r="H25" s="299">
        <v>5000</v>
      </c>
      <c r="I25" s="295">
        <v>5000</v>
      </c>
      <c r="J25" s="269"/>
      <c r="K25" s="269"/>
      <c r="L25" s="269"/>
      <c r="M25" s="269"/>
      <c r="N25" s="290"/>
      <c r="O25" s="290"/>
      <c r="P25" s="290"/>
      <c r="Q25" s="269"/>
      <c r="R25" s="269"/>
      <c r="S25" s="269"/>
      <c r="T25" s="269"/>
      <c r="U25" s="269"/>
      <c r="V25" s="269">
        <v>5000</v>
      </c>
      <c r="W25" s="265">
        <v>0</v>
      </c>
      <c r="X25" s="265">
        <v>5000</v>
      </c>
      <c r="Y25" s="265">
        <v>0</v>
      </c>
      <c r="Z25" s="265">
        <v>5000</v>
      </c>
      <c r="AA25" s="265">
        <v>0</v>
      </c>
      <c r="AB25" s="265">
        <v>5000</v>
      </c>
      <c r="AC25" s="265">
        <f t="shared" si="4"/>
        <v>0</v>
      </c>
      <c r="AD25" s="265">
        <f t="shared" si="13"/>
        <v>5000</v>
      </c>
      <c r="AE25" s="265">
        <f t="shared" si="14"/>
        <v>5000</v>
      </c>
      <c r="AF25" s="265">
        <f t="shared" si="15"/>
        <v>5000</v>
      </c>
      <c r="AG25" s="255">
        <f>SUM(AH25:AK25)</f>
        <v>4500</v>
      </c>
      <c r="AH25" s="255"/>
      <c r="AI25" s="255"/>
      <c r="AJ25" s="298">
        <v>4500</v>
      </c>
      <c r="AK25" s="255"/>
      <c r="AL25" s="255"/>
      <c r="AM25" s="255"/>
      <c r="AN25" s="255"/>
      <c r="AO25" s="255"/>
      <c r="AP25" s="265"/>
      <c r="AQ25" s="255"/>
      <c r="AR25" s="255"/>
      <c r="AS25" s="255"/>
      <c r="AT25" s="255"/>
      <c r="AU25" s="265">
        <f t="shared" si="10"/>
        <v>500</v>
      </c>
      <c r="AV25" s="265"/>
      <c r="AW25" s="265">
        <v>500</v>
      </c>
      <c r="AX25" s="255"/>
      <c r="AY25" s="255"/>
      <c r="AZ25" s="255"/>
      <c r="BA25" s="255"/>
      <c r="BB25" s="255"/>
      <c r="BC25" s="255"/>
      <c r="BD25" s="255"/>
      <c r="BE25" s="255"/>
      <c r="BF25" s="265"/>
      <c r="BG25" s="255"/>
      <c r="BH25" s="255"/>
      <c r="BI25" s="300"/>
      <c r="BJ25" s="291"/>
      <c r="BK25" s="301">
        <v>2023</v>
      </c>
      <c r="BL25" s="301">
        <v>2025</v>
      </c>
      <c r="BM25" s="293" t="s">
        <v>1674</v>
      </c>
      <c r="BN25" s="299">
        <v>5000</v>
      </c>
      <c r="BO25" s="295">
        <v>5000</v>
      </c>
      <c r="BP25" s="295"/>
      <c r="BQ25" s="295"/>
      <c r="BR25" s="295"/>
      <c r="BS25" s="295"/>
      <c r="BT25" s="295"/>
      <c r="BU25" s="295"/>
      <c r="BV25" s="295"/>
      <c r="BW25" s="295"/>
      <c r="BX25" s="295"/>
      <c r="BY25" s="295"/>
      <c r="BZ25" s="269"/>
      <c r="CA25" s="295"/>
      <c r="CB25" s="295"/>
      <c r="CC25" s="295"/>
      <c r="CD25" s="295"/>
      <c r="CE25" s="269"/>
      <c r="CF25" s="295"/>
      <c r="CG25" s="295"/>
      <c r="CH25" s="295"/>
      <c r="CI25" s="295"/>
      <c r="CJ25" s="268">
        <f t="shared" si="16"/>
        <v>500</v>
      </c>
      <c r="CK25" s="269"/>
      <c r="CL25" s="269"/>
      <c r="CM25" s="269"/>
      <c r="CN25" s="275"/>
      <c r="CO25" s="265"/>
      <c r="CP25" s="265">
        <v>500</v>
      </c>
      <c r="CQ25" s="255"/>
      <c r="CR25" s="255"/>
      <c r="CS25" s="255"/>
      <c r="CT25" s="265">
        <f t="shared" si="17"/>
        <v>4343</v>
      </c>
      <c r="CU25" s="270">
        <f t="shared" si="18"/>
        <v>0</v>
      </c>
      <c r="CV25" s="270">
        <f t="shared" si="18"/>
        <v>0</v>
      </c>
      <c r="CW25" s="270">
        <v>4343</v>
      </c>
      <c r="CX25" s="275"/>
      <c r="CY25" s="270"/>
      <c r="CZ25" s="272"/>
      <c r="DA25" s="272"/>
      <c r="DB25" s="272"/>
      <c r="DC25" s="272"/>
      <c r="DD25" s="271"/>
      <c r="DE25" s="271" t="s">
        <v>1675</v>
      </c>
      <c r="DF25" s="297"/>
    </row>
    <row r="120" spans="73:110" x14ac:dyDescent="0.25">
      <c r="BU120" s="223"/>
      <c r="BV120" s="223"/>
      <c r="BW120" s="223"/>
      <c r="BX120" s="223"/>
      <c r="BY120" s="223"/>
      <c r="BZ120" s="223"/>
      <c r="CA120" s="223"/>
      <c r="CB120" s="223"/>
      <c r="CC120" s="223"/>
      <c r="CD120" s="223"/>
      <c r="CE120" s="223"/>
      <c r="CF120" s="223"/>
      <c r="CG120" s="223"/>
      <c r="CH120" s="223"/>
      <c r="CI120" s="223"/>
      <c r="CJ120" s="223"/>
      <c r="CK120" s="223"/>
      <c r="CL120" s="223"/>
      <c r="CM120" s="223"/>
      <c r="CN120" s="223"/>
      <c r="CO120" s="223"/>
      <c r="CP120" s="223"/>
      <c r="CQ120" s="223"/>
      <c r="CR120" s="223"/>
      <c r="CS120" s="223"/>
      <c r="CT120" s="223"/>
      <c r="CU120" s="223"/>
      <c r="CV120" s="223"/>
      <c r="CW120" s="223"/>
      <c r="CX120" s="223"/>
      <c r="CY120" s="223"/>
      <c r="CZ120" s="223"/>
      <c r="DA120" s="223"/>
      <c r="DF120" s="223"/>
    </row>
    <row r="121" spans="73:110" x14ac:dyDescent="0.25">
      <c r="BU121" s="223"/>
      <c r="BV121" s="223"/>
      <c r="BW121" s="223"/>
      <c r="BX121" s="223"/>
      <c r="BY121" s="223"/>
      <c r="BZ121" s="223"/>
      <c r="CA121" s="223"/>
      <c r="CB121" s="223"/>
      <c r="CC121" s="223"/>
      <c r="CD121" s="223"/>
      <c r="CE121" s="223"/>
      <c r="CF121" s="223"/>
      <c r="CG121" s="223"/>
      <c r="CH121" s="223"/>
      <c r="CI121" s="223"/>
      <c r="CJ121" s="223"/>
      <c r="CK121" s="223"/>
      <c r="CL121" s="223"/>
      <c r="CM121" s="223"/>
      <c r="CN121" s="223"/>
      <c r="CO121" s="223"/>
      <c r="CP121" s="223"/>
      <c r="CQ121" s="223"/>
      <c r="CR121" s="223"/>
      <c r="CS121" s="223"/>
      <c r="CT121" s="223"/>
      <c r="CU121" s="223"/>
      <c r="CV121" s="223"/>
      <c r="CW121" s="223"/>
      <c r="CX121" s="223"/>
      <c r="CY121" s="223"/>
      <c r="CZ121" s="223"/>
      <c r="DA121" s="223"/>
      <c r="DF121" s="223"/>
    </row>
    <row r="122" spans="73:110" x14ac:dyDescent="0.25">
      <c r="BU122" s="223"/>
      <c r="BV122" s="223"/>
      <c r="BW122" s="223"/>
      <c r="BX122" s="223"/>
      <c r="BY122" s="223"/>
      <c r="BZ122" s="223"/>
      <c r="CA122" s="223"/>
      <c r="CB122" s="223"/>
      <c r="CC122" s="223"/>
      <c r="CD122" s="223"/>
      <c r="CE122" s="223"/>
      <c r="CF122" s="223"/>
      <c r="CG122" s="223"/>
      <c r="CH122" s="223"/>
      <c r="CI122" s="223"/>
      <c r="CJ122" s="223"/>
      <c r="CK122" s="223"/>
      <c r="CL122" s="223"/>
      <c r="CM122" s="223"/>
      <c r="CN122" s="223"/>
      <c r="CO122" s="223"/>
      <c r="CP122" s="223"/>
      <c r="CQ122" s="223"/>
      <c r="CR122" s="223"/>
      <c r="CS122" s="223"/>
      <c r="CT122" s="223"/>
      <c r="CU122" s="223"/>
      <c r="CV122" s="223"/>
      <c r="CW122" s="223"/>
      <c r="CX122" s="223"/>
      <c r="CY122" s="223"/>
      <c r="CZ122" s="223"/>
      <c r="DA122" s="223"/>
      <c r="DF122" s="223"/>
    </row>
    <row r="123" spans="73:110" x14ac:dyDescent="0.25">
      <c r="BU123" s="223"/>
      <c r="BV123" s="223"/>
      <c r="BW123" s="223"/>
      <c r="BX123" s="223"/>
      <c r="BY123" s="223"/>
      <c r="BZ123" s="223"/>
      <c r="CA123" s="223"/>
      <c r="CB123" s="223"/>
      <c r="CC123" s="223"/>
      <c r="CD123" s="223"/>
      <c r="CE123" s="223"/>
      <c r="CF123" s="223"/>
      <c r="CG123" s="223"/>
      <c r="CH123" s="223"/>
      <c r="CI123" s="223"/>
      <c r="CJ123" s="223"/>
      <c r="CK123" s="223"/>
      <c r="CL123" s="223"/>
      <c r="CM123" s="223"/>
      <c r="CN123" s="223"/>
      <c r="CO123" s="223"/>
      <c r="CP123" s="223"/>
      <c r="CQ123" s="223"/>
      <c r="CR123" s="223"/>
      <c r="CS123" s="223"/>
      <c r="CT123" s="223"/>
      <c r="CU123" s="223"/>
      <c r="CV123" s="223"/>
      <c r="CW123" s="223"/>
      <c r="CX123" s="223"/>
      <c r="CY123" s="223"/>
      <c r="CZ123" s="223"/>
      <c r="DA123" s="223"/>
      <c r="DF123" s="223"/>
    </row>
    <row r="124" spans="73:110" x14ac:dyDescent="0.25">
      <c r="BU124" s="223"/>
      <c r="BV124" s="223"/>
      <c r="BW124" s="223"/>
      <c r="BX124" s="223"/>
      <c r="BY124" s="223"/>
      <c r="BZ124" s="223"/>
      <c r="CA124" s="223"/>
      <c r="CB124" s="223"/>
      <c r="CC124" s="223"/>
      <c r="CD124" s="223"/>
      <c r="CE124" s="223"/>
      <c r="CF124" s="223"/>
      <c r="CG124" s="223"/>
      <c r="CH124" s="223"/>
      <c r="CI124" s="223"/>
      <c r="CJ124" s="223"/>
      <c r="CK124" s="223"/>
      <c r="CL124" s="223"/>
      <c r="CM124" s="223"/>
      <c r="CN124" s="223"/>
      <c r="CO124" s="223"/>
      <c r="CP124" s="223"/>
      <c r="CQ124" s="223"/>
      <c r="CR124" s="223"/>
      <c r="CS124" s="223"/>
      <c r="CT124" s="223"/>
      <c r="CU124" s="223"/>
      <c r="CV124" s="223"/>
      <c r="CW124" s="223"/>
      <c r="CX124" s="223"/>
      <c r="CY124" s="223"/>
      <c r="CZ124" s="223"/>
      <c r="DA124" s="223"/>
      <c r="DF124" s="223"/>
    </row>
  </sheetData>
  <mergeCells count="148">
    <mergeCell ref="O8:O10"/>
    <mergeCell ref="P8:Q8"/>
    <mergeCell ref="S8:S10"/>
    <mergeCell ref="T8:U8"/>
    <mergeCell ref="CC8:CC10"/>
    <mergeCell ref="CD8:CD10"/>
    <mergeCell ref="BD9:BD10"/>
    <mergeCell ref="BG9:BG10"/>
    <mergeCell ref="BH9:BH10"/>
    <mergeCell ref="BI9:BI10"/>
    <mergeCell ref="BT8:BT10"/>
    <mergeCell ref="BG8:BI8"/>
    <mergeCell ref="BU7:BU10"/>
    <mergeCell ref="BV7:BY7"/>
    <mergeCell ref="BQ7:BT7"/>
    <mergeCell ref="BQ8:BQ10"/>
    <mergeCell ref="AS8:AS10"/>
    <mergeCell ref="AT8:AT10"/>
    <mergeCell ref="AV8:AV10"/>
    <mergeCell ref="BX8:BX10"/>
    <mergeCell ref="BY8:BY10"/>
    <mergeCell ref="CA8:CA10"/>
    <mergeCell ref="CB8:CB10"/>
    <mergeCell ref="DE5:DE10"/>
    <mergeCell ref="DF5:DF10"/>
    <mergeCell ref="G7:G10"/>
    <mergeCell ref="H7:I7"/>
    <mergeCell ref="J7:J10"/>
    <mergeCell ref="K7:K10"/>
    <mergeCell ref="L7:L10"/>
    <mergeCell ref="M7:M10"/>
    <mergeCell ref="N7:N10"/>
    <mergeCell ref="O7:Q7"/>
    <mergeCell ref="Z5:Z10"/>
    <mergeCell ref="AA5:AA10"/>
    <mergeCell ref="AB5:AB10"/>
    <mergeCell ref="AF5:BI6"/>
    <mergeCell ref="AL7:AL10"/>
    <mergeCell ref="AM7:AO7"/>
    <mergeCell ref="AP7:AP10"/>
    <mergeCell ref="AQ7:AT7"/>
    <mergeCell ref="AK8:AK10"/>
    <mergeCell ref="AM8:AM10"/>
    <mergeCell ref="AH8:AH10"/>
    <mergeCell ref="AI8:AI10"/>
    <mergeCell ref="AJ8:AJ10"/>
    <mergeCell ref="P9:P10"/>
    <mergeCell ref="CT7:CT10"/>
    <mergeCell ref="CZ5:CZ10"/>
    <mergeCell ref="DA5:DA10"/>
    <mergeCell ref="CU8:CU10"/>
    <mergeCell ref="DD5:DD10"/>
    <mergeCell ref="BM7:BM10"/>
    <mergeCell ref="BN7:BO7"/>
    <mergeCell ref="BN8:BN10"/>
    <mergeCell ref="BO8:BO10"/>
    <mergeCell ref="CX8:CX10"/>
    <mergeCell ref="CV8:CV10"/>
    <mergeCell ref="CY5:CY10"/>
    <mergeCell ref="CW8:CW10"/>
    <mergeCell ref="CI8:CI10"/>
    <mergeCell ref="CK8:CK10"/>
    <mergeCell ref="CL8:CL10"/>
    <mergeCell ref="CE7:CE10"/>
    <mergeCell ref="BV8:BV10"/>
    <mergeCell ref="BW8:BW10"/>
    <mergeCell ref="CH8:CH10"/>
    <mergeCell ref="A1:DE1"/>
    <mergeCell ref="A2:DE2"/>
    <mergeCell ref="A3:DE3"/>
    <mergeCell ref="A4:DF4"/>
    <mergeCell ref="A5:A10"/>
    <mergeCell ref="B5:B10"/>
    <mergeCell ref="C5:C10"/>
    <mergeCell ref="D5:D10"/>
    <mergeCell ref="E5:E10"/>
    <mergeCell ref="F5:F10"/>
    <mergeCell ref="DB5:DB10"/>
    <mergeCell ref="DC5:DC10"/>
    <mergeCell ref="BU5:BY6"/>
    <mergeCell ref="BZ5:CD6"/>
    <mergeCell ref="CE5:CI6"/>
    <mergeCell ref="BM5:BO6"/>
    <mergeCell ref="BP5:BT6"/>
    <mergeCell ref="BP7:BP10"/>
    <mergeCell ref="CT5:CX6"/>
    <mergeCell ref="BS8:BS10"/>
    <mergeCell ref="CM8:CM10"/>
    <mergeCell ref="CU7:CX7"/>
    <mergeCell ref="CR8:CR10"/>
    <mergeCell ref="CS8:CS10"/>
    <mergeCell ref="AC5:AC10"/>
    <mergeCell ref="AD5:AD10"/>
    <mergeCell ref="AE5:AE10"/>
    <mergeCell ref="AU7:AU10"/>
    <mergeCell ref="AV7:AZ7"/>
    <mergeCell ref="G5:I6"/>
    <mergeCell ref="J5:K6"/>
    <mergeCell ref="L5:M6"/>
    <mergeCell ref="N5:Q6"/>
    <mergeCell ref="R5:U6"/>
    <mergeCell ref="V5:V10"/>
    <mergeCell ref="R7:R10"/>
    <mergeCell ref="S7:U7"/>
    <mergeCell ref="AF7:AF10"/>
    <mergeCell ref="AG7:AG10"/>
    <mergeCell ref="AH7:AK7"/>
    <mergeCell ref="Q9:Q10"/>
    <mergeCell ref="T9:T10"/>
    <mergeCell ref="U9:U10"/>
    <mergeCell ref="W5:W10"/>
    <mergeCell ref="X5:X10"/>
    <mergeCell ref="Y5:Y10"/>
    <mergeCell ref="H8:H10"/>
    <mergeCell ref="I8:I10"/>
    <mergeCell ref="CJ5:CS6"/>
    <mergeCell ref="BJ5:BJ10"/>
    <mergeCell ref="BK5:BK10"/>
    <mergeCell ref="BL5:BL10"/>
    <mergeCell ref="BR8:BR10"/>
    <mergeCell ref="AN8:AN10"/>
    <mergeCell ref="BC8:BD8"/>
    <mergeCell ref="AW8:AW10"/>
    <mergeCell ref="AX8:AX10"/>
    <mergeCell ref="BE7:BE10"/>
    <mergeCell ref="CJ7:CJ10"/>
    <mergeCell ref="CN8:CN10"/>
    <mergeCell ref="CO8:CO10"/>
    <mergeCell ref="CP8:CP10"/>
    <mergeCell ref="CQ8:CQ10"/>
    <mergeCell ref="BC9:BC10"/>
    <mergeCell ref="BZ7:BZ10"/>
    <mergeCell ref="CA7:CD7"/>
    <mergeCell ref="AO8:AO10"/>
    <mergeCell ref="AQ8:AQ10"/>
    <mergeCell ref="AR8:AR10"/>
    <mergeCell ref="CF7:CI7"/>
    <mergeCell ref="CK7:CN7"/>
    <mergeCell ref="CO7:CS7"/>
    <mergeCell ref="CF8:CF10"/>
    <mergeCell ref="CG8:CG10"/>
    <mergeCell ref="BF7:BF10"/>
    <mergeCell ref="BG7:BI7"/>
    <mergeCell ref="BA7:BA10"/>
    <mergeCell ref="BB7:BB10"/>
    <mergeCell ref="BC7:BD7"/>
    <mergeCell ref="AY8:AY10"/>
    <mergeCell ref="AZ8:AZ10"/>
  </mergeCells>
  <dataValidations count="3">
    <dataValidation type="whole" operator="lessThanOrEqual" allowBlank="1" showInputMessage="1" showErrorMessage="1" errorTitle="Lỗi" error="Thời gian bắt đầu không được lớn hơn thời gian kết thúc" sqref="BK16:BK18">
      <formula1>BL16</formula1>
    </dataValidation>
    <dataValidation type="whole" operator="greaterThanOrEqual" allowBlank="1" showInputMessage="1" showErrorMessage="1" errorTitle="Lỗi" error="Thời gian kết thúc không được nhỏ hơn thời gian bắt đầu" sqref="BL16:BL17">
      <formula1>BK16</formula1>
    </dataValidation>
    <dataValidation allowBlank="1" showInputMessage="1" sqref="E26:F65536 H23:I25 BN23:BO25 BL23:BL25 BN18:CY18 BN16:BO17 E1:F18"/>
  </dataValidations>
  <printOptions horizontalCentered="1"/>
  <pageMargins left="0" right="0" top="0" bottom="0" header="0.31496062992125984" footer="0.31496062992125984"/>
  <pageSetup paperSize="9" scale="85" orientation="landscape" verticalDpi="0"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39997558519241921"/>
  </sheetPr>
  <dimension ref="A1:K23"/>
  <sheetViews>
    <sheetView workbookViewId="0">
      <selection activeCell="E33" sqref="E33"/>
    </sheetView>
  </sheetViews>
  <sheetFormatPr defaultColWidth="9.28515625" defaultRowHeight="15" x14ac:dyDescent="0.25"/>
  <cols>
    <col min="1" max="1" width="6.7109375" style="1" customWidth="1"/>
    <col min="2" max="2" width="31.28515625" style="1" customWidth="1"/>
    <col min="3" max="4" width="9.28515625" style="1"/>
    <col min="5" max="5" width="14" style="1" customWidth="1"/>
    <col min="6" max="8" width="9.28515625" style="1"/>
    <col min="9" max="9" width="12.28515625" style="1" customWidth="1"/>
    <col min="10" max="16384" width="9.28515625" style="1"/>
  </cols>
  <sheetData>
    <row r="1" spans="1:11" ht="18.75" customHeight="1" x14ac:dyDescent="0.25">
      <c r="A1" s="559" t="s">
        <v>159</v>
      </c>
      <c r="B1" s="559"/>
      <c r="C1" s="559"/>
      <c r="D1" s="559"/>
      <c r="E1" s="559"/>
      <c r="F1" s="559"/>
      <c r="G1" s="559"/>
      <c r="H1" s="559"/>
      <c r="I1" s="559"/>
      <c r="J1" s="559"/>
      <c r="K1" s="559"/>
    </row>
    <row r="2" spans="1:11" ht="41.25" customHeight="1" x14ac:dyDescent="0.25">
      <c r="A2" s="554" t="s">
        <v>160</v>
      </c>
      <c r="B2" s="554"/>
      <c r="C2" s="554"/>
      <c r="D2" s="554"/>
      <c r="E2" s="554"/>
      <c r="F2" s="554"/>
      <c r="G2" s="554"/>
      <c r="H2" s="554"/>
      <c r="I2" s="554"/>
      <c r="J2" s="554"/>
      <c r="K2" s="554"/>
    </row>
    <row r="3" spans="1:11" x14ac:dyDescent="0.25">
      <c r="A3" s="560" t="s">
        <v>126</v>
      </c>
      <c r="B3" s="560"/>
      <c r="C3" s="560"/>
      <c r="D3" s="560"/>
      <c r="E3" s="560"/>
      <c r="F3" s="560"/>
      <c r="G3" s="560"/>
      <c r="H3" s="560"/>
      <c r="I3" s="560"/>
      <c r="J3" s="560"/>
      <c r="K3" s="560"/>
    </row>
    <row r="4" spans="1:11" x14ac:dyDescent="0.25">
      <c r="I4" s="561" t="s">
        <v>56</v>
      </c>
      <c r="J4" s="561"/>
      <c r="K4" s="561"/>
    </row>
    <row r="5" spans="1:11" x14ac:dyDescent="0.25">
      <c r="A5" s="558" t="s">
        <v>3</v>
      </c>
      <c r="B5" s="558" t="s">
        <v>161</v>
      </c>
      <c r="C5" s="558" t="s">
        <v>130</v>
      </c>
      <c r="D5" s="558" t="s">
        <v>162</v>
      </c>
      <c r="E5" s="558"/>
      <c r="F5" s="558"/>
      <c r="G5" s="558"/>
      <c r="H5" s="558"/>
      <c r="I5" s="558"/>
      <c r="J5" s="558"/>
      <c r="K5" s="558"/>
    </row>
    <row r="6" spans="1:11" x14ac:dyDescent="0.25">
      <c r="A6" s="558"/>
      <c r="B6" s="558"/>
      <c r="C6" s="558"/>
      <c r="D6" s="558" t="s">
        <v>135</v>
      </c>
      <c r="E6" s="558"/>
      <c r="F6" s="558"/>
      <c r="G6" s="558"/>
      <c r="H6" s="558" t="s">
        <v>136</v>
      </c>
      <c r="I6" s="558"/>
      <c r="J6" s="558"/>
      <c r="K6" s="558"/>
    </row>
    <row r="7" spans="1:11" x14ac:dyDescent="0.25">
      <c r="A7" s="558"/>
      <c r="B7" s="558"/>
      <c r="C7" s="558"/>
      <c r="D7" s="558" t="s">
        <v>130</v>
      </c>
      <c r="E7" s="558" t="s">
        <v>162</v>
      </c>
      <c r="F7" s="558"/>
      <c r="G7" s="558"/>
      <c r="H7" s="558" t="s">
        <v>130</v>
      </c>
      <c r="I7" s="558" t="s">
        <v>162</v>
      </c>
      <c r="J7" s="558"/>
      <c r="K7" s="558"/>
    </row>
    <row r="8" spans="1:11" ht="114" x14ac:dyDescent="0.25">
      <c r="A8" s="558"/>
      <c r="B8" s="558"/>
      <c r="C8" s="558"/>
      <c r="D8" s="558"/>
      <c r="E8" s="2" t="s">
        <v>163</v>
      </c>
      <c r="F8" s="2" t="s">
        <v>164</v>
      </c>
      <c r="G8" s="2" t="s">
        <v>165</v>
      </c>
      <c r="H8" s="558"/>
      <c r="I8" s="2" t="s">
        <v>163</v>
      </c>
      <c r="J8" s="2" t="s">
        <v>164</v>
      </c>
      <c r="K8" s="2" t="s">
        <v>165</v>
      </c>
    </row>
    <row r="9" spans="1:11" x14ac:dyDescent="0.25">
      <c r="A9" s="2" t="s">
        <v>15</v>
      </c>
      <c r="B9" s="2" t="s">
        <v>16</v>
      </c>
      <c r="C9" s="2">
        <v>1</v>
      </c>
      <c r="D9" s="2">
        <v>2</v>
      </c>
      <c r="E9" s="2">
        <v>3</v>
      </c>
      <c r="F9" s="2">
        <v>4</v>
      </c>
      <c r="G9" s="2">
        <v>5</v>
      </c>
      <c r="H9" s="2">
        <v>6</v>
      </c>
      <c r="I9" s="2">
        <v>7</v>
      </c>
      <c r="J9" s="2">
        <v>8</v>
      </c>
      <c r="K9" s="2">
        <v>9</v>
      </c>
    </row>
    <row r="10" spans="1:11" x14ac:dyDescent="0.25">
      <c r="A10" s="3"/>
      <c r="B10" s="2" t="s">
        <v>130</v>
      </c>
      <c r="C10" s="4"/>
      <c r="D10" s="4"/>
      <c r="E10" s="4"/>
      <c r="F10" s="4"/>
      <c r="G10" s="4"/>
      <c r="H10" s="4"/>
      <c r="I10" s="4"/>
      <c r="J10" s="4"/>
      <c r="K10" s="4"/>
    </row>
    <row r="11" spans="1:11" x14ac:dyDescent="0.25">
      <c r="A11" s="3">
        <v>1</v>
      </c>
      <c r="B11" s="4" t="s">
        <v>166</v>
      </c>
      <c r="C11" s="4"/>
      <c r="D11" s="4"/>
      <c r="E11" s="4"/>
      <c r="F11" s="4"/>
      <c r="G11" s="4"/>
      <c r="H11" s="4"/>
      <c r="I11" s="4"/>
      <c r="J11" s="4"/>
      <c r="K11" s="4"/>
    </row>
    <row r="12" spans="1:11" x14ac:dyDescent="0.25">
      <c r="A12" s="3">
        <v>2</v>
      </c>
      <c r="B12" s="4" t="s">
        <v>167</v>
      </c>
      <c r="C12" s="4"/>
      <c r="D12" s="4"/>
      <c r="E12" s="4"/>
      <c r="F12" s="4"/>
      <c r="G12" s="4"/>
      <c r="H12" s="4"/>
      <c r="I12" s="4"/>
      <c r="J12" s="4"/>
      <c r="K12" s="4"/>
    </row>
    <row r="13" spans="1:11" x14ac:dyDescent="0.25">
      <c r="A13" s="3">
        <v>3</v>
      </c>
      <c r="B13" s="4" t="s">
        <v>168</v>
      </c>
      <c r="C13" s="4"/>
      <c r="D13" s="4"/>
      <c r="E13" s="4"/>
      <c r="F13" s="4"/>
      <c r="G13" s="4"/>
      <c r="H13" s="4"/>
      <c r="I13" s="4"/>
      <c r="J13" s="4"/>
      <c r="K13" s="4"/>
    </row>
    <row r="14" spans="1:11" x14ac:dyDescent="0.25">
      <c r="A14" s="3">
        <v>4</v>
      </c>
      <c r="B14" s="4" t="s">
        <v>169</v>
      </c>
      <c r="C14" s="4"/>
      <c r="D14" s="4"/>
      <c r="E14" s="4"/>
      <c r="F14" s="4"/>
      <c r="G14" s="4"/>
      <c r="H14" s="4"/>
      <c r="I14" s="4"/>
      <c r="J14" s="4"/>
      <c r="K14" s="4"/>
    </row>
    <row r="15" spans="1:11" x14ac:dyDescent="0.25">
      <c r="A15" s="3">
        <v>5</v>
      </c>
      <c r="B15" s="4" t="s">
        <v>170</v>
      </c>
      <c r="C15" s="4"/>
      <c r="D15" s="4"/>
      <c r="E15" s="4"/>
      <c r="F15" s="4"/>
      <c r="G15" s="4"/>
      <c r="H15" s="4"/>
      <c r="I15" s="4"/>
      <c r="J15" s="4"/>
      <c r="K15" s="4"/>
    </row>
    <row r="16" spans="1:11" x14ac:dyDescent="0.25">
      <c r="A16" s="3">
        <v>6</v>
      </c>
      <c r="B16" s="4" t="s">
        <v>171</v>
      </c>
      <c r="C16" s="4"/>
      <c r="D16" s="4"/>
      <c r="E16" s="4"/>
      <c r="F16" s="4"/>
      <c r="G16" s="4"/>
      <c r="H16" s="4"/>
      <c r="I16" s="4"/>
      <c r="J16" s="4"/>
      <c r="K16" s="4"/>
    </row>
    <row r="17" spans="1:11" x14ac:dyDescent="0.25">
      <c r="A17" s="3">
        <v>7</v>
      </c>
      <c r="B17" s="4" t="s">
        <v>172</v>
      </c>
      <c r="C17" s="4"/>
      <c r="D17" s="4"/>
      <c r="E17" s="4"/>
      <c r="F17" s="4"/>
      <c r="G17" s="4"/>
      <c r="H17" s="4"/>
      <c r="I17" s="4"/>
      <c r="J17" s="4"/>
      <c r="K17" s="4"/>
    </row>
    <row r="18" spans="1:11" x14ac:dyDescent="0.25">
      <c r="A18" s="3">
        <v>8</v>
      </c>
      <c r="B18" s="4" t="s">
        <v>173</v>
      </c>
      <c r="C18" s="4"/>
      <c r="D18" s="4"/>
      <c r="E18" s="4"/>
      <c r="F18" s="4"/>
      <c r="G18" s="4"/>
      <c r="H18" s="4"/>
      <c r="I18" s="4"/>
      <c r="J18" s="4"/>
      <c r="K18" s="4"/>
    </row>
    <row r="19" spans="1:11" x14ac:dyDescent="0.25">
      <c r="A19" s="3">
        <v>9</v>
      </c>
      <c r="B19" s="4" t="s">
        <v>174</v>
      </c>
      <c r="C19" s="4"/>
      <c r="D19" s="4"/>
      <c r="E19" s="4"/>
      <c r="F19" s="4"/>
      <c r="G19" s="4"/>
      <c r="H19" s="4"/>
      <c r="I19" s="4"/>
      <c r="J19" s="4"/>
      <c r="K19" s="4"/>
    </row>
    <row r="20" spans="1:11" x14ac:dyDescent="0.25">
      <c r="A20" s="3">
        <v>10</v>
      </c>
      <c r="B20" s="4" t="s">
        <v>175</v>
      </c>
      <c r="C20" s="4"/>
      <c r="D20" s="4"/>
      <c r="E20" s="4"/>
      <c r="F20" s="4"/>
      <c r="G20" s="4"/>
      <c r="H20" s="4"/>
      <c r="I20" s="4"/>
      <c r="J20" s="4"/>
      <c r="K20" s="4"/>
    </row>
    <row r="21" spans="1:11" x14ac:dyDescent="0.25">
      <c r="A21" s="3">
        <v>11</v>
      </c>
      <c r="B21" s="4" t="s">
        <v>176</v>
      </c>
      <c r="C21" s="4"/>
      <c r="D21" s="4"/>
      <c r="E21" s="4"/>
      <c r="F21" s="4"/>
      <c r="G21" s="4"/>
      <c r="H21" s="4"/>
      <c r="I21" s="4"/>
      <c r="J21" s="4"/>
      <c r="K21" s="4"/>
    </row>
    <row r="22" spans="1:11" x14ac:dyDescent="0.25">
      <c r="A22" s="3">
        <v>12</v>
      </c>
      <c r="B22" s="4" t="s">
        <v>177</v>
      </c>
      <c r="C22" s="4"/>
      <c r="D22" s="4"/>
      <c r="E22" s="4"/>
      <c r="F22" s="4"/>
      <c r="G22" s="4"/>
      <c r="H22" s="4"/>
      <c r="I22" s="4"/>
      <c r="J22" s="4"/>
      <c r="K22" s="4"/>
    </row>
    <row r="23" spans="1:11" x14ac:dyDescent="0.25">
      <c r="A23" s="16"/>
    </row>
  </sheetData>
  <mergeCells count="14">
    <mergeCell ref="A1:K1"/>
    <mergeCell ref="A3:K3"/>
    <mergeCell ref="I4:K4"/>
    <mergeCell ref="A5:A8"/>
    <mergeCell ref="B5:B8"/>
    <mergeCell ref="C5:C8"/>
    <mergeCell ref="D5:K5"/>
    <mergeCell ref="D6:G6"/>
    <mergeCell ref="H6:K6"/>
    <mergeCell ref="D7:D8"/>
    <mergeCell ref="E7:G7"/>
    <mergeCell ref="H7:H8"/>
    <mergeCell ref="I7:K7"/>
    <mergeCell ref="A2:K2"/>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6"/>
  <sheetViews>
    <sheetView topLeftCell="A8" workbookViewId="0">
      <selection activeCell="DK16" sqref="DK16"/>
    </sheetView>
  </sheetViews>
  <sheetFormatPr defaultColWidth="9.28515625" defaultRowHeight="15.75" x14ac:dyDescent="0.25"/>
  <cols>
    <col min="1" max="1" width="5" style="338" customWidth="1"/>
    <col min="2" max="2" width="46.28515625" style="312" customWidth="1"/>
    <col min="3" max="3" width="11.42578125" style="340" customWidth="1"/>
    <col min="4" max="4" width="15.28515625" style="312" hidden="1" customWidth="1"/>
    <col min="5" max="5" width="11.42578125" style="340" hidden="1" customWidth="1"/>
    <col min="6" max="6" width="12.28515625" style="340" customWidth="1"/>
    <col min="7" max="7" width="14.85546875" style="340" customWidth="1"/>
    <col min="8" max="9" width="13.5703125" style="341" customWidth="1"/>
    <col min="10" max="10" width="12.42578125" style="341" hidden="1" customWidth="1"/>
    <col min="11" max="11" width="11.7109375" style="341" hidden="1" customWidth="1"/>
    <col min="12" max="12" width="14.28515625" style="341" hidden="1" customWidth="1"/>
    <col min="13" max="13" width="13" style="341" hidden="1" customWidth="1"/>
    <col min="14" max="14" width="13.28515625" style="341" hidden="1" customWidth="1"/>
    <col min="15" max="15" width="12.42578125" style="341" hidden="1" customWidth="1"/>
    <col min="16" max="16" width="13.28515625" style="341" hidden="1" customWidth="1"/>
    <col min="17" max="17" width="14.28515625" style="341" hidden="1" customWidth="1"/>
    <col min="18" max="18" width="13" style="341" hidden="1" customWidth="1"/>
    <col min="19" max="19" width="12.42578125" style="341" hidden="1" customWidth="1"/>
    <col min="20" max="20" width="12.7109375" style="341" hidden="1" customWidth="1"/>
    <col min="21" max="22" width="11.42578125" style="341" hidden="1" customWidth="1"/>
    <col min="23" max="23" width="12.42578125" style="341" hidden="1" customWidth="1"/>
    <col min="24" max="24" width="12.7109375" style="341" hidden="1" customWidth="1"/>
    <col min="25" max="25" width="12.42578125" style="341" hidden="1" customWidth="1"/>
    <col min="26" max="26" width="12.7109375" style="341" hidden="1" customWidth="1"/>
    <col min="27" max="28" width="11.42578125" style="341" hidden="1" customWidth="1"/>
    <col min="29" max="29" width="13.7109375" style="341" hidden="1" customWidth="1"/>
    <col min="30" max="30" width="12.5703125" style="341" hidden="1" customWidth="1"/>
    <col min="31" max="31" width="12.7109375" style="341" hidden="1" customWidth="1"/>
    <col min="32" max="32" width="12.5703125" style="341" hidden="1" customWidth="1"/>
    <col min="33" max="34" width="12.7109375" style="341" hidden="1" customWidth="1"/>
    <col min="35" max="35" width="13.28515625" style="341" customWidth="1"/>
    <col min="36" max="36" width="14.7109375" style="341" customWidth="1"/>
    <col min="37" max="37" width="12.42578125" style="341" customWidth="1"/>
    <col min="38" max="38" width="15.5703125" style="337" customWidth="1"/>
    <col min="39" max="16384" width="9.28515625" style="337"/>
  </cols>
  <sheetData>
    <row r="1" spans="1:38" s="310" customFormat="1" ht="23.25" customHeight="1" x14ac:dyDescent="0.25">
      <c r="A1" s="688" t="s">
        <v>1676</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row>
    <row r="2" spans="1:38" s="310" customFormat="1" ht="28.5" customHeight="1" x14ac:dyDescent="0.25">
      <c r="A2" s="689" t="s">
        <v>1677</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row>
    <row r="3" spans="1:38" s="310" customFormat="1" ht="25.5" customHeight="1" x14ac:dyDescent="0.25">
      <c r="A3" s="690" t="str">
        <f>'[3]PL2 NSDP'!A3:DE3</f>
        <v>(Kèm theo Tờ trình số        TTr -TCKH ngày      tháng 11 năm 2023 của phòng Tài chính Kế hoạch huyện Phụng Hiệp)</v>
      </c>
      <c r="B3" s="690"/>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c r="AI3" s="690"/>
      <c r="AJ3" s="690"/>
      <c r="AK3" s="690"/>
    </row>
    <row r="4" spans="1:38" s="312" customFormat="1" ht="21" customHeight="1" x14ac:dyDescent="0.25">
      <c r="A4" s="691" t="s">
        <v>56</v>
      </c>
      <c r="B4" s="691"/>
      <c r="C4" s="691"/>
      <c r="D4" s="691"/>
      <c r="E4" s="691"/>
      <c r="F4" s="691"/>
      <c r="G4" s="691"/>
      <c r="H4" s="691"/>
      <c r="I4" s="691"/>
      <c r="J4" s="691"/>
      <c r="K4" s="691"/>
      <c r="L4" s="691"/>
      <c r="M4" s="691"/>
      <c r="N4" s="691"/>
      <c r="O4" s="691"/>
      <c r="P4" s="691"/>
      <c r="Q4" s="691"/>
      <c r="R4" s="691"/>
      <c r="S4" s="691"/>
      <c r="T4" s="691"/>
      <c r="U4" s="691"/>
      <c r="V4" s="691"/>
      <c r="W4" s="691"/>
      <c r="X4" s="691"/>
      <c r="Y4" s="691"/>
      <c r="Z4" s="691"/>
      <c r="AA4" s="691"/>
      <c r="AB4" s="691"/>
      <c r="AC4" s="691"/>
      <c r="AD4" s="691"/>
      <c r="AE4" s="691"/>
      <c r="AF4" s="691"/>
      <c r="AG4" s="691"/>
      <c r="AH4" s="691"/>
      <c r="AI4" s="691"/>
      <c r="AJ4" s="691"/>
      <c r="AK4" s="691"/>
    </row>
    <row r="5" spans="1:38" s="312" customFormat="1" ht="13.5" customHeight="1" x14ac:dyDescent="0.25">
      <c r="A5" s="687" t="s">
        <v>3</v>
      </c>
      <c r="B5" s="687" t="s">
        <v>180</v>
      </c>
      <c r="C5" s="687" t="s">
        <v>1034</v>
      </c>
      <c r="D5" s="687" t="s">
        <v>181</v>
      </c>
      <c r="E5" s="687" t="s">
        <v>182</v>
      </c>
      <c r="F5" s="687" t="s">
        <v>1678</v>
      </c>
      <c r="G5" s="687" t="s">
        <v>184</v>
      </c>
      <c r="H5" s="687"/>
      <c r="I5" s="687"/>
      <c r="J5" s="687" t="s">
        <v>1582</v>
      </c>
      <c r="K5" s="687"/>
      <c r="L5" s="687" t="s">
        <v>1679</v>
      </c>
      <c r="M5" s="687"/>
      <c r="N5" s="687" t="s">
        <v>1680</v>
      </c>
      <c r="O5" s="687"/>
      <c r="P5" s="687"/>
      <c r="Q5" s="687" t="s">
        <v>1679</v>
      </c>
      <c r="R5" s="687"/>
      <c r="S5" s="687" t="s">
        <v>1597</v>
      </c>
      <c r="T5" s="687"/>
      <c r="U5" s="687"/>
      <c r="V5" s="687"/>
      <c r="W5" s="687" t="s">
        <v>1681</v>
      </c>
      <c r="X5" s="687"/>
      <c r="Y5" s="687" t="s">
        <v>1682</v>
      </c>
      <c r="Z5" s="687"/>
      <c r="AA5" s="687"/>
      <c r="AB5" s="687"/>
      <c r="AC5" s="687" t="s">
        <v>1683</v>
      </c>
      <c r="AD5" s="687" t="s">
        <v>1684</v>
      </c>
      <c r="AE5" s="687"/>
      <c r="AF5" s="687"/>
      <c r="AG5" s="687"/>
      <c r="AH5" s="692" t="s">
        <v>1685</v>
      </c>
      <c r="AI5" s="687" t="s">
        <v>1600</v>
      </c>
      <c r="AJ5" s="687"/>
      <c r="AK5" s="687" t="s">
        <v>129</v>
      </c>
    </row>
    <row r="6" spans="1:38" s="312" customFormat="1" ht="24" customHeight="1" x14ac:dyDescent="0.25">
      <c r="A6" s="687"/>
      <c r="B6" s="687"/>
      <c r="C6" s="687"/>
      <c r="D6" s="687"/>
      <c r="E6" s="687"/>
      <c r="F6" s="687"/>
      <c r="G6" s="687"/>
      <c r="H6" s="687"/>
      <c r="I6" s="687"/>
      <c r="J6" s="313"/>
      <c r="K6" s="313"/>
      <c r="L6" s="313"/>
      <c r="M6" s="313"/>
      <c r="N6" s="687"/>
      <c r="O6" s="687"/>
      <c r="P6" s="687"/>
      <c r="Q6" s="313"/>
      <c r="R6" s="313"/>
      <c r="S6" s="313"/>
      <c r="T6" s="313"/>
      <c r="U6" s="313"/>
      <c r="V6" s="313"/>
      <c r="W6" s="313"/>
      <c r="X6" s="313"/>
      <c r="Y6" s="313"/>
      <c r="Z6" s="313"/>
      <c r="AA6" s="313"/>
      <c r="AB6" s="313"/>
      <c r="AC6" s="687"/>
      <c r="AD6" s="687" t="s">
        <v>1686</v>
      </c>
      <c r="AE6" s="687"/>
      <c r="AF6" s="687" t="s">
        <v>1687</v>
      </c>
      <c r="AG6" s="687"/>
      <c r="AH6" s="693"/>
      <c r="AI6" s="687"/>
      <c r="AJ6" s="687"/>
      <c r="AK6" s="687"/>
    </row>
    <row r="7" spans="1:38" s="314" customFormat="1" ht="28.5" customHeight="1" x14ac:dyDescent="0.25">
      <c r="A7" s="687"/>
      <c r="B7" s="687"/>
      <c r="C7" s="687"/>
      <c r="D7" s="687"/>
      <c r="E7" s="687"/>
      <c r="F7" s="687"/>
      <c r="G7" s="687" t="s">
        <v>1036</v>
      </c>
      <c r="H7" s="687" t="s">
        <v>188</v>
      </c>
      <c r="I7" s="687"/>
      <c r="J7" s="687" t="s">
        <v>189</v>
      </c>
      <c r="K7" s="687" t="s">
        <v>1688</v>
      </c>
      <c r="L7" s="687" t="s">
        <v>189</v>
      </c>
      <c r="M7" s="687" t="s">
        <v>1688</v>
      </c>
      <c r="N7" s="687" t="s">
        <v>189</v>
      </c>
      <c r="O7" s="687" t="s">
        <v>1689</v>
      </c>
      <c r="P7" s="687"/>
      <c r="Q7" s="687" t="s">
        <v>189</v>
      </c>
      <c r="R7" s="687" t="s">
        <v>1688</v>
      </c>
      <c r="S7" s="687" t="s">
        <v>189</v>
      </c>
      <c r="T7" s="687" t="s">
        <v>1612</v>
      </c>
      <c r="U7" s="687"/>
      <c r="V7" s="687"/>
      <c r="W7" s="687" t="s">
        <v>189</v>
      </c>
      <c r="X7" s="313" t="s">
        <v>134</v>
      </c>
      <c r="Y7" s="687" t="s">
        <v>189</v>
      </c>
      <c r="Z7" s="687" t="s">
        <v>1612</v>
      </c>
      <c r="AA7" s="687"/>
      <c r="AB7" s="687"/>
      <c r="AC7" s="687"/>
      <c r="AD7" s="687" t="s">
        <v>189</v>
      </c>
      <c r="AE7" s="313" t="s">
        <v>1612</v>
      </c>
      <c r="AF7" s="687" t="s">
        <v>189</v>
      </c>
      <c r="AG7" s="313" t="s">
        <v>1612</v>
      </c>
      <c r="AH7" s="693"/>
      <c r="AI7" s="687" t="s">
        <v>189</v>
      </c>
      <c r="AJ7" s="313" t="s">
        <v>1612</v>
      </c>
      <c r="AK7" s="687"/>
    </row>
    <row r="8" spans="1:38" s="314" customFormat="1" ht="21" customHeight="1" x14ac:dyDescent="0.25">
      <c r="A8" s="687"/>
      <c r="B8" s="687"/>
      <c r="C8" s="687"/>
      <c r="D8" s="687"/>
      <c r="E8" s="687"/>
      <c r="F8" s="687"/>
      <c r="G8" s="687"/>
      <c r="H8" s="687" t="s">
        <v>189</v>
      </c>
      <c r="I8" s="687" t="s">
        <v>1690</v>
      </c>
      <c r="J8" s="687"/>
      <c r="K8" s="687"/>
      <c r="L8" s="687"/>
      <c r="M8" s="687"/>
      <c r="N8" s="687"/>
      <c r="O8" s="687" t="s">
        <v>130</v>
      </c>
      <c r="P8" s="315" t="s">
        <v>162</v>
      </c>
      <c r="Q8" s="687"/>
      <c r="R8" s="687"/>
      <c r="S8" s="687"/>
      <c r="T8" s="687" t="s">
        <v>1691</v>
      </c>
      <c r="U8" s="695" t="s">
        <v>162</v>
      </c>
      <c r="V8" s="695"/>
      <c r="W8" s="687"/>
      <c r="X8" s="687" t="s">
        <v>1691</v>
      </c>
      <c r="Y8" s="687"/>
      <c r="Z8" s="687" t="s">
        <v>1691</v>
      </c>
      <c r="AA8" s="695" t="s">
        <v>162</v>
      </c>
      <c r="AB8" s="695"/>
      <c r="AC8" s="687"/>
      <c r="AD8" s="687"/>
      <c r="AE8" s="687" t="s">
        <v>1691</v>
      </c>
      <c r="AF8" s="687"/>
      <c r="AG8" s="687" t="s">
        <v>1691</v>
      </c>
      <c r="AH8" s="693"/>
      <c r="AI8" s="687"/>
      <c r="AJ8" s="687" t="s">
        <v>1691</v>
      </c>
      <c r="AK8" s="687"/>
      <c r="AL8" s="311"/>
    </row>
    <row r="9" spans="1:38" s="314" customFormat="1" ht="13.5" customHeight="1" x14ac:dyDescent="0.25">
      <c r="A9" s="687"/>
      <c r="B9" s="687"/>
      <c r="C9" s="687"/>
      <c r="D9" s="687"/>
      <c r="E9" s="687"/>
      <c r="F9" s="687"/>
      <c r="G9" s="687"/>
      <c r="H9" s="687"/>
      <c r="I9" s="687"/>
      <c r="J9" s="687"/>
      <c r="K9" s="687"/>
      <c r="L9" s="687"/>
      <c r="M9" s="687"/>
      <c r="N9" s="687"/>
      <c r="O9" s="687"/>
      <c r="P9" s="695" t="s">
        <v>1692</v>
      </c>
      <c r="Q9" s="687"/>
      <c r="R9" s="687"/>
      <c r="S9" s="687"/>
      <c r="T9" s="687"/>
      <c r="U9" s="695" t="s">
        <v>1692</v>
      </c>
      <c r="V9" s="695" t="s">
        <v>1693</v>
      </c>
      <c r="W9" s="687"/>
      <c r="X9" s="687"/>
      <c r="Y9" s="687"/>
      <c r="Z9" s="687"/>
      <c r="AA9" s="695" t="s">
        <v>1692</v>
      </c>
      <c r="AB9" s="695" t="s">
        <v>1693</v>
      </c>
      <c r="AC9" s="687"/>
      <c r="AD9" s="687"/>
      <c r="AE9" s="687"/>
      <c r="AF9" s="687"/>
      <c r="AG9" s="687"/>
      <c r="AH9" s="693"/>
      <c r="AI9" s="687"/>
      <c r="AJ9" s="687"/>
      <c r="AK9" s="687"/>
    </row>
    <row r="10" spans="1:38" s="314" customFormat="1" ht="18.75" customHeight="1" x14ac:dyDescent="0.25">
      <c r="A10" s="687"/>
      <c r="B10" s="687"/>
      <c r="C10" s="687"/>
      <c r="D10" s="687"/>
      <c r="E10" s="687"/>
      <c r="F10" s="687"/>
      <c r="G10" s="687"/>
      <c r="H10" s="687"/>
      <c r="I10" s="687"/>
      <c r="J10" s="687"/>
      <c r="K10" s="687"/>
      <c r="L10" s="687"/>
      <c r="M10" s="687"/>
      <c r="N10" s="687"/>
      <c r="O10" s="687"/>
      <c r="P10" s="695"/>
      <c r="Q10" s="687"/>
      <c r="R10" s="687"/>
      <c r="S10" s="687"/>
      <c r="T10" s="687"/>
      <c r="U10" s="695"/>
      <c r="V10" s="695"/>
      <c r="W10" s="687"/>
      <c r="X10" s="687"/>
      <c r="Y10" s="687"/>
      <c r="Z10" s="687"/>
      <c r="AA10" s="695"/>
      <c r="AB10" s="695"/>
      <c r="AC10" s="687"/>
      <c r="AD10" s="687"/>
      <c r="AE10" s="687"/>
      <c r="AF10" s="687"/>
      <c r="AG10" s="687"/>
      <c r="AH10" s="694"/>
      <c r="AI10" s="687"/>
      <c r="AJ10" s="687"/>
      <c r="AK10" s="687"/>
      <c r="AL10" s="316"/>
    </row>
    <row r="11" spans="1:38" s="318" customFormat="1" ht="15.75" hidden="1" customHeight="1" x14ac:dyDescent="0.25">
      <c r="A11" s="317">
        <v>1</v>
      </c>
      <c r="B11" s="317">
        <v>2</v>
      </c>
      <c r="C11" s="317"/>
      <c r="D11" s="317">
        <f t="shared" ref="D11:P11" si="0">C11+1</f>
        <v>1</v>
      </c>
      <c r="E11" s="317"/>
      <c r="F11" s="317">
        <f>D11+1</f>
        <v>2</v>
      </c>
      <c r="G11" s="317">
        <f t="shared" si="0"/>
        <v>3</v>
      </c>
      <c r="H11" s="317">
        <f t="shared" si="0"/>
        <v>4</v>
      </c>
      <c r="I11" s="317">
        <f t="shared" si="0"/>
        <v>5</v>
      </c>
      <c r="J11" s="317">
        <f t="shared" si="0"/>
        <v>6</v>
      </c>
      <c r="K11" s="317">
        <f t="shared" si="0"/>
        <v>7</v>
      </c>
      <c r="L11" s="317"/>
      <c r="M11" s="317"/>
      <c r="N11" s="317" t="e">
        <f>#REF!+1</f>
        <v>#REF!</v>
      </c>
      <c r="O11" s="317" t="e">
        <f t="shared" si="0"/>
        <v>#REF!</v>
      </c>
      <c r="P11" s="317" t="e">
        <f t="shared" si="0"/>
        <v>#REF!</v>
      </c>
      <c r="Q11" s="317"/>
      <c r="R11" s="317"/>
      <c r="S11" s="317"/>
      <c r="T11" s="317"/>
      <c r="U11" s="317"/>
      <c r="V11" s="317"/>
      <c r="W11" s="317"/>
      <c r="X11" s="317"/>
      <c r="Y11" s="317"/>
      <c r="Z11" s="317"/>
      <c r="AA11" s="317"/>
      <c r="AB11" s="317"/>
      <c r="AC11" s="317"/>
      <c r="AD11" s="317"/>
      <c r="AE11" s="317"/>
      <c r="AF11" s="317"/>
      <c r="AG11" s="317"/>
      <c r="AH11" s="317"/>
      <c r="AI11" s="317"/>
      <c r="AJ11" s="317"/>
      <c r="AK11" s="317"/>
    </row>
    <row r="12" spans="1:38" s="316" customFormat="1" ht="29.25" customHeight="1" x14ac:dyDescent="0.25">
      <c r="A12" s="319"/>
      <c r="B12" s="313" t="s">
        <v>133</v>
      </c>
      <c r="C12" s="313"/>
      <c r="D12" s="313"/>
      <c r="E12" s="313"/>
      <c r="F12" s="313"/>
      <c r="G12" s="319"/>
      <c r="H12" s="320">
        <f>H14</f>
        <v>97333</v>
      </c>
      <c r="I12" s="320">
        <f t="shared" ref="I12:AJ12" si="1">I14</f>
        <v>96333</v>
      </c>
      <c r="J12" s="320">
        <f t="shared" si="1"/>
        <v>0</v>
      </c>
      <c r="K12" s="320">
        <f t="shared" si="1"/>
        <v>0</v>
      </c>
      <c r="L12" s="320">
        <f t="shared" si="1"/>
        <v>40591</v>
      </c>
      <c r="M12" s="320">
        <f t="shared" si="1"/>
        <v>40591</v>
      </c>
      <c r="N12" s="320">
        <f t="shared" si="1"/>
        <v>97333</v>
      </c>
      <c r="O12" s="320">
        <f t="shared" si="1"/>
        <v>96333</v>
      </c>
      <c r="P12" s="320">
        <f t="shared" si="1"/>
        <v>0</v>
      </c>
      <c r="Q12" s="320">
        <f t="shared" si="1"/>
        <v>40591</v>
      </c>
      <c r="R12" s="320">
        <f t="shared" si="1"/>
        <v>40591</v>
      </c>
      <c r="S12" s="320">
        <f t="shared" si="1"/>
        <v>30000</v>
      </c>
      <c r="T12" s="320">
        <f t="shared" si="1"/>
        <v>30000</v>
      </c>
      <c r="U12" s="320">
        <f t="shared" si="1"/>
        <v>0</v>
      </c>
      <c r="V12" s="320">
        <f t="shared" si="1"/>
        <v>0</v>
      </c>
      <c r="W12" s="320">
        <f t="shared" si="1"/>
        <v>17008</v>
      </c>
      <c r="X12" s="320">
        <f t="shared" si="1"/>
        <v>17008</v>
      </c>
      <c r="Y12" s="320">
        <f t="shared" si="1"/>
        <v>30000</v>
      </c>
      <c r="Z12" s="320">
        <f t="shared" si="1"/>
        <v>30000</v>
      </c>
      <c r="AA12" s="320">
        <f t="shared" si="1"/>
        <v>0</v>
      </c>
      <c r="AB12" s="320">
        <f t="shared" si="1"/>
        <v>0</v>
      </c>
      <c r="AC12" s="320">
        <f t="shared" si="1"/>
        <v>0</v>
      </c>
      <c r="AD12" s="320">
        <f t="shared" si="1"/>
        <v>17000</v>
      </c>
      <c r="AE12" s="320">
        <f t="shared" si="1"/>
        <v>17000</v>
      </c>
      <c r="AF12" s="320">
        <f t="shared" si="1"/>
        <v>17000</v>
      </c>
      <c r="AG12" s="320">
        <f t="shared" si="1"/>
        <v>17000</v>
      </c>
      <c r="AH12" s="320">
        <f t="shared" si="1"/>
        <v>8742</v>
      </c>
      <c r="AI12" s="320">
        <f t="shared" si="1"/>
        <v>8742</v>
      </c>
      <c r="AJ12" s="320">
        <f t="shared" si="1"/>
        <v>8742</v>
      </c>
      <c r="AK12" s="320"/>
      <c r="AL12" s="316">
        <f>AJ12+'[3]PL2 NSDP'!CT14+'[3]PL6 NTM'!O7</f>
        <v>65204</v>
      </c>
    </row>
    <row r="13" spans="1:38" s="318" customFormat="1" hidden="1" x14ac:dyDescent="0.25">
      <c r="A13" s="321"/>
      <c r="B13" s="322" t="s">
        <v>195</v>
      </c>
      <c r="C13" s="128"/>
      <c r="D13" s="128"/>
      <c r="E13" s="128"/>
      <c r="F13" s="296"/>
      <c r="G13" s="44"/>
      <c r="H13" s="323" t="e">
        <f>#REF!+#REF!</f>
        <v>#REF!</v>
      </c>
      <c r="I13" s="323" t="e">
        <f>#REF!+#REF!</f>
        <v>#REF!</v>
      </c>
      <c r="J13" s="323" t="e">
        <f>#REF!+#REF!</f>
        <v>#REF!</v>
      </c>
      <c r="K13" s="323" t="e">
        <f>#REF!+#REF!</f>
        <v>#REF!</v>
      </c>
      <c r="L13" s="323" t="e">
        <f>#REF!+#REF!</f>
        <v>#REF!</v>
      </c>
      <c r="M13" s="323" t="e">
        <f>#REF!+#REF!</f>
        <v>#REF!</v>
      </c>
      <c r="N13" s="323" t="e">
        <f>#REF!+#REF!</f>
        <v>#REF!</v>
      </c>
      <c r="O13" s="323" t="e">
        <f>#REF!+#REF!</f>
        <v>#REF!</v>
      </c>
      <c r="P13" s="323" t="e">
        <f>#REF!+#REF!</f>
        <v>#REF!</v>
      </c>
      <c r="Q13" s="323" t="e">
        <f>#REF!+#REF!</f>
        <v>#REF!</v>
      </c>
      <c r="R13" s="323" t="e">
        <f>#REF!+#REF!</f>
        <v>#REF!</v>
      </c>
      <c r="S13" s="323" t="e">
        <f>#REF!+#REF!</f>
        <v>#REF!</v>
      </c>
      <c r="T13" s="323" t="e">
        <f>#REF!+#REF!</f>
        <v>#REF!</v>
      </c>
      <c r="U13" s="323" t="e">
        <f>#REF!+#REF!</f>
        <v>#REF!</v>
      </c>
      <c r="V13" s="323" t="e">
        <f>#REF!+#REF!</f>
        <v>#REF!</v>
      </c>
      <c r="W13" s="323" t="e">
        <f>#REF!+#REF!</f>
        <v>#REF!</v>
      </c>
      <c r="X13" s="323" t="e">
        <f>#REF!+#REF!</f>
        <v>#REF!</v>
      </c>
      <c r="Y13" s="323" t="e">
        <f>#REF!+#REF!</f>
        <v>#REF!</v>
      </c>
      <c r="Z13" s="323" t="e">
        <f>#REF!+#REF!</f>
        <v>#REF!</v>
      </c>
      <c r="AA13" s="323" t="e">
        <f>#REF!+#REF!</f>
        <v>#REF!</v>
      </c>
      <c r="AB13" s="323" t="e">
        <f>#REF!+#REF!</f>
        <v>#REF!</v>
      </c>
      <c r="AC13" s="323" t="e">
        <f>#REF!+#REF!</f>
        <v>#REF!</v>
      </c>
      <c r="AD13" s="323" t="e">
        <f>#REF!+#REF!</f>
        <v>#REF!</v>
      </c>
      <c r="AE13" s="323" t="e">
        <f>#REF!+#REF!</f>
        <v>#REF!</v>
      </c>
      <c r="AF13" s="323" t="e">
        <f>#REF!+#REF!</f>
        <v>#REF!</v>
      </c>
      <c r="AG13" s="323" t="e">
        <f>#REF!+#REF!</f>
        <v>#REF!</v>
      </c>
      <c r="AH13" s="323" t="e">
        <f>#REF!+#REF!</f>
        <v>#REF!</v>
      </c>
      <c r="AI13" s="323" t="e">
        <f>#REF!+#REF!</f>
        <v>#REF!</v>
      </c>
      <c r="AJ13" s="323" t="e">
        <f>#REF!+#REF!</f>
        <v>#REF!</v>
      </c>
      <c r="AK13" s="323"/>
    </row>
    <row r="14" spans="1:38" s="318" customFormat="1" ht="26.25" customHeight="1" x14ac:dyDescent="0.25">
      <c r="A14" s="321"/>
      <c r="B14" s="322" t="s">
        <v>1639</v>
      </c>
      <c r="C14" s="128"/>
      <c r="D14" s="128"/>
      <c r="E14" s="128"/>
      <c r="F14" s="296"/>
      <c r="G14" s="44"/>
      <c r="H14" s="323">
        <f t="shared" ref="H14:AJ14" si="2">H15+H18</f>
        <v>97333</v>
      </c>
      <c r="I14" s="323">
        <f t="shared" si="2"/>
        <v>96333</v>
      </c>
      <c r="J14" s="323">
        <f t="shared" si="2"/>
        <v>0</v>
      </c>
      <c r="K14" s="323">
        <f t="shared" si="2"/>
        <v>0</v>
      </c>
      <c r="L14" s="323">
        <f t="shared" si="2"/>
        <v>40591</v>
      </c>
      <c r="M14" s="323">
        <f t="shared" si="2"/>
        <v>40591</v>
      </c>
      <c r="N14" s="323">
        <f t="shared" si="2"/>
        <v>97333</v>
      </c>
      <c r="O14" s="323">
        <f t="shared" si="2"/>
        <v>96333</v>
      </c>
      <c r="P14" s="323">
        <f t="shared" si="2"/>
        <v>0</v>
      </c>
      <c r="Q14" s="323">
        <f t="shared" si="2"/>
        <v>40591</v>
      </c>
      <c r="R14" s="323">
        <f t="shared" si="2"/>
        <v>40591</v>
      </c>
      <c r="S14" s="323">
        <f t="shared" si="2"/>
        <v>30000</v>
      </c>
      <c r="T14" s="323">
        <f t="shared" si="2"/>
        <v>30000</v>
      </c>
      <c r="U14" s="323">
        <f t="shared" si="2"/>
        <v>0</v>
      </c>
      <c r="V14" s="323">
        <f t="shared" si="2"/>
        <v>0</v>
      </c>
      <c r="W14" s="323">
        <f t="shared" si="2"/>
        <v>17008</v>
      </c>
      <c r="X14" s="323">
        <f t="shared" si="2"/>
        <v>17008</v>
      </c>
      <c r="Y14" s="323">
        <f t="shared" si="2"/>
        <v>30000</v>
      </c>
      <c r="Z14" s="323">
        <f t="shared" si="2"/>
        <v>30000</v>
      </c>
      <c r="AA14" s="323">
        <f t="shared" si="2"/>
        <v>0</v>
      </c>
      <c r="AB14" s="323">
        <f t="shared" si="2"/>
        <v>0</v>
      </c>
      <c r="AC14" s="323">
        <f t="shared" si="2"/>
        <v>0</v>
      </c>
      <c r="AD14" s="323">
        <f t="shared" si="2"/>
        <v>17000</v>
      </c>
      <c r="AE14" s="323">
        <f t="shared" si="2"/>
        <v>17000</v>
      </c>
      <c r="AF14" s="323">
        <f t="shared" si="2"/>
        <v>17000</v>
      </c>
      <c r="AG14" s="323">
        <f t="shared" si="2"/>
        <v>17000</v>
      </c>
      <c r="AH14" s="323">
        <f t="shared" si="2"/>
        <v>8742</v>
      </c>
      <c r="AI14" s="323">
        <f t="shared" si="2"/>
        <v>8742</v>
      </c>
      <c r="AJ14" s="323">
        <f t="shared" si="2"/>
        <v>8742</v>
      </c>
      <c r="AK14" s="323"/>
    </row>
    <row r="15" spans="1:38" s="318" customFormat="1" ht="17.25" hidden="1" customHeight="1" x14ac:dyDescent="0.25">
      <c r="A15" s="321"/>
      <c r="B15" s="322"/>
      <c r="C15" s="128"/>
      <c r="D15" s="128"/>
      <c r="E15" s="128"/>
      <c r="F15" s="296"/>
      <c r="G15" s="44"/>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row>
    <row r="16" spans="1:38" s="318" customFormat="1" ht="32.25" hidden="1" customHeight="1" x14ac:dyDescent="0.25">
      <c r="A16" s="321"/>
      <c r="B16" s="322"/>
      <c r="C16" s="128"/>
      <c r="D16" s="128"/>
      <c r="E16" s="128"/>
      <c r="F16" s="296"/>
      <c r="G16" s="44"/>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row>
    <row r="17" spans="1:37" s="318" customFormat="1" ht="15.75" hidden="1" customHeight="1" x14ac:dyDescent="0.25">
      <c r="A17" s="324"/>
      <c r="B17" s="325"/>
      <c r="C17" s="128"/>
      <c r="D17" s="128"/>
      <c r="E17" s="128"/>
      <c r="F17" s="128"/>
      <c r="G17" s="44"/>
      <c r="H17" s="326"/>
      <c r="I17" s="327"/>
      <c r="J17" s="328"/>
      <c r="K17" s="328"/>
      <c r="L17" s="328"/>
      <c r="M17" s="328"/>
      <c r="N17" s="326"/>
      <c r="O17" s="327"/>
      <c r="P17" s="328"/>
      <c r="Q17" s="328"/>
      <c r="R17" s="328"/>
      <c r="S17" s="328"/>
      <c r="T17" s="328"/>
      <c r="U17" s="328"/>
      <c r="V17" s="328"/>
      <c r="W17" s="328"/>
      <c r="X17" s="328"/>
      <c r="Y17" s="328"/>
      <c r="Z17" s="328"/>
      <c r="AA17" s="328"/>
      <c r="AB17" s="328"/>
      <c r="AC17" s="328"/>
      <c r="AD17" s="328"/>
      <c r="AE17" s="328"/>
      <c r="AF17" s="328"/>
      <c r="AG17" s="328"/>
      <c r="AH17" s="328"/>
      <c r="AI17" s="328"/>
      <c r="AJ17" s="328"/>
      <c r="AK17" s="328"/>
    </row>
    <row r="18" spans="1:37" s="318" customFormat="1" ht="22.5" customHeight="1" x14ac:dyDescent="0.25">
      <c r="A18" s="321"/>
      <c r="B18" s="322" t="s">
        <v>1694</v>
      </c>
      <c r="C18" s="128"/>
      <c r="D18" s="128"/>
      <c r="E18" s="128"/>
      <c r="F18" s="296"/>
      <c r="G18" s="44"/>
      <c r="H18" s="323">
        <f>H19</f>
        <v>97333</v>
      </c>
      <c r="I18" s="323">
        <f t="shared" ref="I18:AJ18" si="3">I19</f>
        <v>96333</v>
      </c>
      <c r="J18" s="323">
        <f t="shared" si="3"/>
        <v>0</v>
      </c>
      <c r="K18" s="323">
        <f t="shared" si="3"/>
        <v>0</v>
      </c>
      <c r="L18" s="323">
        <f t="shared" si="3"/>
        <v>40591</v>
      </c>
      <c r="M18" s="323">
        <f t="shared" si="3"/>
        <v>40591</v>
      </c>
      <c r="N18" s="323">
        <f t="shared" si="3"/>
        <v>97333</v>
      </c>
      <c r="O18" s="323">
        <f t="shared" si="3"/>
        <v>96333</v>
      </c>
      <c r="P18" s="323">
        <f t="shared" si="3"/>
        <v>0</v>
      </c>
      <c r="Q18" s="323">
        <f t="shared" si="3"/>
        <v>40591</v>
      </c>
      <c r="R18" s="323">
        <f t="shared" si="3"/>
        <v>40591</v>
      </c>
      <c r="S18" s="323">
        <f t="shared" si="3"/>
        <v>30000</v>
      </c>
      <c r="T18" s="323">
        <f t="shared" si="3"/>
        <v>30000</v>
      </c>
      <c r="U18" s="323">
        <f t="shared" si="3"/>
        <v>0</v>
      </c>
      <c r="V18" s="323">
        <f t="shared" si="3"/>
        <v>0</v>
      </c>
      <c r="W18" s="323">
        <f t="shared" si="3"/>
        <v>17008</v>
      </c>
      <c r="X18" s="323">
        <f t="shared" si="3"/>
        <v>17008</v>
      </c>
      <c r="Y18" s="323">
        <f t="shared" si="3"/>
        <v>30000</v>
      </c>
      <c r="Z18" s="323">
        <f t="shared" si="3"/>
        <v>30000</v>
      </c>
      <c r="AA18" s="323">
        <f t="shared" si="3"/>
        <v>0</v>
      </c>
      <c r="AB18" s="323">
        <f t="shared" si="3"/>
        <v>0</v>
      </c>
      <c r="AC18" s="323">
        <f t="shared" si="3"/>
        <v>0</v>
      </c>
      <c r="AD18" s="323">
        <f t="shared" si="3"/>
        <v>17000</v>
      </c>
      <c r="AE18" s="323">
        <f t="shared" si="3"/>
        <v>17000</v>
      </c>
      <c r="AF18" s="323">
        <f t="shared" si="3"/>
        <v>17000</v>
      </c>
      <c r="AG18" s="323">
        <f t="shared" si="3"/>
        <v>17000</v>
      </c>
      <c r="AH18" s="323">
        <f t="shared" si="3"/>
        <v>8742</v>
      </c>
      <c r="AI18" s="323">
        <f t="shared" si="3"/>
        <v>8742</v>
      </c>
      <c r="AJ18" s="323">
        <f t="shared" si="3"/>
        <v>8742</v>
      </c>
      <c r="AK18" s="323"/>
    </row>
    <row r="19" spans="1:37" s="336" customFormat="1" ht="71.25" customHeight="1" x14ac:dyDescent="0.25">
      <c r="A19" s="329" t="s">
        <v>1042</v>
      </c>
      <c r="B19" s="330" t="s">
        <v>1695</v>
      </c>
      <c r="C19" s="331">
        <v>7791740</v>
      </c>
      <c r="D19" s="331" t="s">
        <v>1696</v>
      </c>
      <c r="E19" s="331"/>
      <c r="F19" s="331" t="s">
        <v>1697</v>
      </c>
      <c r="G19" s="331" t="s">
        <v>1698</v>
      </c>
      <c r="H19" s="332">
        <v>97333</v>
      </c>
      <c r="I19" s="332">
        <f>97333-1000</f>
        <v>96333</v>
      </c>
      <c r="J19" s="332">
        <v>0</v>
      </c>
      <c r="K19" s="332"/>
      <c r="L19" s="332">
        <v>40591</v>
      </c>
      <c r="M19" s="332">
        <v>40591</v>
      </c>
      <c r="N19" s="332">
        <v>97333</v>
      </c>
      <c r="O19" s="332">
        <f>97333-1000</f>
        <v>96333</v>
      </c>
      <c r="P19" s="332"/>
      <c r="Q19" s="332">
        <v>40591</v>
      </c>
      <c r="R19" s="332">
        <v>40591</v>
      </c>
      <c r="S19" s="333">
        <f>T19</f>
        <v>30000</v>
      </c>
      <c r="T19" s="333">
        <v>30000</v>
      </c>
      <c r="U19" s="334"/>
      <c r="V19" s="334"/>
      <c r="W19" s="333">
        <f>X19</f>
        <v>17008</v>
      </c>
      <c r="X19" s="333">
        <v>17008</v>
      </c>
      <c r="Y19" s="333">
        <f>Z19</f>
        <v>30000</v>
      </c>
      <c r="Z19" s="333">
        <v>30000</v>
      </c>
      <c r="AA19" s="334"/>
      <c r="AB19" s="334"/>
      <c r="AC19" s="335">
        <f>T19-Z19</f>
        <v>0</v>
      </c>
      <c r="AD19" s="333">
        <f>AE19</f>
        <v>17000</v>
      </c>
      <c r="AE19" s="333">
        <v>17000</v>
      </c>
      <c r="AF19" s="333">
        <f>AG19</f>
        <v>17000</v>
      </c>
      <c r="AG19" s="333">
        <v>17000</v>
      </c>
      <c r="AH19" s="334">
        <v>8742</v>
      </c>
      <c r="AI19" s="333">
        <f>AJ19</f>
        <v>8742</v>
      </c>
      <c r="AJ19" s="335">
        <f>O19-R19-T19-AE19</f>
        <v>8742</v>
      </c>
      <c r="AK19" s="333"/>
    </row>
    <row r="20" spans="1:37" x14ac:dyDescent="0.25">
      <c r="A20" s="337"/>
      <c r="B20" s="337"/>
      <c r="C20" s="338"/>
      <c r="D20" s="337"/>
      <c r="E20" s="338"/>
      <c r="F20" s="338"/>
      <c r="G20" s="337"/>
      <c r="H20" s="337"/>
      <c r="I20" s="337"/>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row>
    <row r="21" spans="1:37" x14ac:dyDescent="0.25">
      <c r="A21" s="337"/>
      <c r="B21" s="337"/>
      <c r="C21" s="338"/>
      <c r="D21" s="337"/>
      <c r="E21" s="338"/>
      <c r="F21" s="338"/>
      <c r="G21" s="337"/>
      <c r="H21" s="337"/>
      <c r="I21" s="337"/>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row>
    <row r="22" spans="1:37" x14ac:dyDescent="0.25">
      <c r="A22" s="337"/>
      <c r="B22" s="337"/>
      <c r="C22" s="338"/>
      <c r="D22" s="337"/>
      <c r="E22" s="338"/>
      <c r="F22" s="338"/>
      <c r="G22" s="337"/>
      <c r="H22" s="337"/>
      <c r="I22" s="337"/>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row>
    <row r="23" spans="1:37" x14ac:dyDescent="0.25">
      <c r="A23" s="337"/>
      <c r="B23" s="337"/>
      <c r="C23" s="338"/>
      <c r="D23" s="337"/>
      <c r="E23" s="338"/>
      <c r="F23" s="338"/>
      <c r="G23" s="337"/>
      <c r="H23" s="337"/>
      <c r="I23" s="337"/>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row>
    <row r="24" spans="1:37" x14ac:dyDescent="0.25">
      <c r="A24" s="337"/>
      <c r="B24" s="337"/>
      <c r="C24" s="338"/>
      <c r="D24" s="337"/>
      <c r="E24" s="338"/>
      <c r="F24" s="338"/>
      <c r="G24" s="337"/>
      <c r="H24" s="337"/>
      <c r="I24" s="337"/>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row>
    <row r="25" spans="1:37" x14ac:dyDescent="0.25">
      <c r="A25" s="337"/>
      <c r="B25" s="337"/>
      <c r="C25" s="338"/>
      <c r="D25" s="337"/>
      <c r="E25" s="338"/>
      <c r="F25" s="338"/>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row>
    <row r="26" spans="1:37" x14ac:dyDescent="0.25">
      <c r="A26" s="337"/>
      <c r="B26" s="337"/>
      <c r="C26" s="338"/>
      <c r="D26" s="337"/>
      <c r="E26" s="338"/>
      <c r="F26" s="338"/>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row>
    <row r="27" spans="1:37" x14ac:dyDescent="0.25">
      <c r="A27" s="337"/>
      <c r="B27" s="337"/>
      <c r="C27" s="338"/>
      <c r="D27" s="337"/>
      <c r="E27" s="338"/>
      <c r="F27" s="338"/>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row>
    <row r="28" spans="1:37" x14ac:dyDescent="0.25">
      <c r="A28" s="337"/>
      <c r="B28" s="337"/>
      <c r="C28" s="338"/>
      <c r="D28" s="337"/>
      <c r="E28" s="338"/>
      <c r="F28" s="338"/>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row>
    <row r="29" spans="1:37" x14ac:dyDescent="0.25">
      <c r="A29" s="337"/>
      <c r="B29" s="337"/>
      <c r="C29" s="338"/>
      <c r="D29" s="337"/>
      <c r="E29" s="338"/>
      <c r="F29" s="338"/>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row>
    <row r="30" spans="1:37" x14ac:dyDescent="0.25">
      <c r="A30" s="337"/>
      <c r="B30" s="337"/>
      <c r="C30" s="338"/>
      <c r="D30" s="337"/>
      <c r="E30" s="338"/>
      <c r="F30" s="338"/>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row>
    <row r="31" spans="1:37" x14ac:dyDescent="0.25">
      <c r="A31" s="337"/>
      <c r="B31" s="337"/>
      <c r="C31" s="338"/>
      <c r="D31" s="337"/>
      <c r="E31" s="338"/>
      <c r="F31" s="338"/>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row>
    <row r="32" spans="1:37" x14ac:dyDescent="0.25">
      <c r="A32" s="337"/>
      <c r="B32" s="337"/>
      <c r="C32" s="338"/>
      <c r="D32" s="337"/>
      <c r="E32" s="338"/>
      <c r="F32" s="338"/>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row>
    <row r="33" spans="3:6" s="337" customFormat="1" x14ac:dyDescent="0.25">
      <c r="C33" s="338"/>
      <c r="E33" s="338"/>
      <c r="F33" s="338"/>
    </row>
    <row r="34" spans="3:6" s="337" customFormat="1" x14ac:dyDescent="0.25">
      <c r="C34" s="338"/>
      <c r="E34" s="338"/>
      <c r="F34" s="338"/>
    </row>
    <row r="35" spans="3:6" s="337" customFormat="1" x14ac:dyDescent="0.25">
      <c r="C35" s="338"/>
      <c r="E35" s="338"/>
      <c r="F35" s="338"/>
    </row>
    <row r="36" spans="3:6" s="337" customFormat="1" x14ac:dyDescent="0.25">
      <c r="C36" s="338"/>
      <c r="E36" s="338"/>
      <c r="F36" s="338"/>
    </row>
    <row r="37" spans="3:6" s="337" customFormat="1" x14ac:dyDescent="0.25">
      <c r="C37" s="338"/>
      <c r="E37" s="338"/>
      <c r="F37" s="338"/>
    </row>
    <row r="38" spans="3:6" s="337" customFormat="1" x14ac:dyDescent="0.25">
      <c r="C38" s="338"/>
      <c r="E38" s="338"/>
      <c r="F38" s="338"/>
    </row>
    <row r="39" spans="3:6" s="337" customFormat="1" x14ac:dyDescent="0.25">
      <c r="C39" s="338"/>
      <c r="E39" s="338"/>
      <c r="F39" s="338"/>
    </row>
    <row r="40" spans="3:6" s="337" customFormat="1" x14ac:dyDescent="0.25">
      <c r="C40" s="338"/>
      <c r="E40" s="338"/>
      <c r="F40" s="338"/>
    </row>
    <row r="41" spans="3:6" s="337" customFormat="1" x14ac:dyDescent="0.25">
      <c r="C41" s="338"/>
      <c r="E41" s="338"/>
      <c r="F41" s="338"/>
    </row>
    <row r="42" spans="3:6" s="337" customFormat="1" x14ac:dyDescent="0.25">
      <c r="C42" s="338"/>
      <c r="E42" s="338"/>
      <c r="F42" s="338"/>
    </row>
    <row r="43" spans="3:6" s="337" customFormat="1" x14ac:dyDescent="0.25">
      <c r="C43" s="338"/>
      <c r="E43" s="338"/>
      <c r="F43" s="338"/>
    </row>
    <row r="44" spans="3:6" s="337" customFormat="1" x14ac:dyDescent="0.25">
      <c r="C44" s="338"/>
      <c r="E44" s="338"/>
      <c r="F44" s="338"/>
    </row>
    <row r="45" spans="3:6" s="337" customFormat="1" x14ac:dyDescent="0.25">
      <c r="C45" s="338"/>
      <c r="E45" s="338"/>
      <c r="F45" s="338"/>
    </row>
    <row r="46" spans="3:6" s="337" customFormat="1" x14ac:dyDescent="0.25">
      <c r="C46" s="338"/>
      <c r="E46" s="338"/>
      <c r="F46" s="338"/>
    </row>
    <row r="47" spans="3:6" s="337" customFormat="1" x14ac:dyDescent="0.25">
      <c r="C47" s="338"/>
      <c r="E47" s="338"/>
      <c r="F47" s="338"/>
    </row>
    <row r="48" spans="3:6" s="337" customFormat="1" x14ac:dyDescent="0.25">
      <c r="C48" s="338"/>
      <c r="E48" s="338"/>
      <c r="F48" s="338"/>
    </row>
    <row r="49" spans="3:6" s="337" customFormat="1" x14ac:dyDescent="0.25">
      <c r="C49" s="338"/>
      <c r="E49" s="338"/>
      <c r="F49" s="338"/>
    </row>
    <row r="50" spans="3:6" s="337" customFormat="1" x14ac:dyDescent="0.25">
      <c r="C50" s="338"/>
      <c r="E50" s="338"/>
      <c r="F50" s="338"/>
    </row>
    <row r="51" spans="3:6" s="337" customFormat="1" x14ac:dyDescent="0.25">
      <c r="C51" s="338"/>
      <c r="E51" s="338"/>
      <c r="F51" s="338"/>
    </row>
    <row r="52" spans="3:6" s="337" customFormat="1" x14ac:dyDescent="0.25">
      <c r="C52" s="338"/>
      <c r="E52" s="338"/>
      <c r="F52" s="338"/>
    </row>
    <row r="53" spans="3:6" s="337" customFormat="1" x14ac:dyDescent="0.25">
      <c r="C53" s="338"/>
      <c r="E53" s="338"/>
      <c r="F53" s="338"/>
    </row>
    <row r="54" spans="3:6" s="337" customFormat="1" x14ac:dyDescent="0.25">
      <c r="C54" s="338"/>
      <c r="E54" s="338"/>
      <c r="F54" s="338"/>
    </row>
    <row r="55" spans="3:6" s="337" customFormat="1" x14ac:dyDescent="0.25">
      <c r="C55" s="338"/>
      <c r="E55" s="338"/>
      <c r="F55" s="338"/>
    </row>
    <row r="56" spans="3:6" s="337" customFormat="1" x14ac:dyDescent="0.25">
      <c r="C56" s="338"/>
      <c r="E56" s="338"/>
      <c r="F56" s="338"/>
    </row>
    <row r="57" spans="3:6" s="337" customFormat="1" x14ac:dyDescent="0.25">
      <c r="C57" s="338"/>
      <c r="E57" s="338"/>
      <c r="F57" s="338"/>
    </row>
    <row r="58" spans="3:6" s="337" customFormat="1" x14ac:dyDescent="0.25">
      <c r="C58" s="338"/>
      <c r="E58" s="338"/>
      <c r="F58" s="338"/>
    </row>
    <row r="59" spans="3:6" s="337" customFormat="1" x14ac:dyDescent="0.25">
      <c r="C59" s="338"/>
      <c r="E59" s="338"/>
      <c r="F59" s="338"/>
    </row>
    <row r="60" spans="3:6" s="337" customFormat="1" x14ac:dyDescent="0.25">
      <c r="C60" s="338"/>
      <c r="E60" s="338"/>
      <c r="F60" s="338"/>
    </row>
    <row r="61" spans="3:6" s="337" customFormat="1" x14ac:dyDescent="0.25">
      <c r="C61" s="338"/>
      <c r="E61" s="338"/>
      <c r="F61" s="338"/>
    </row>
    <row r="62" spans="3:6" s="337" customFormat="1" x14ac:dyDescent="0.25">
      <c r="C62" s="338"/>
      <c r="E62" s="338"/>
      <c r="F62" s="338"/>
    </row>
    <row r="63" spans="3:6" s="337" customFormat="1" x14ac:dyDescent="0.25">
      <c r="C63" s="338"/>
      <c r="E63" s="338"/>
      <c r="F63" s="338"/>
    </row>
    <row r="64" spans="3:6" s="337" customFormat="1" x14ac:dyDescent="0.25">
      <c r="C64" s="338"/>
      <c r="E64" s="338"/>
      <c r="F64" s="338"/>
    </row>
    <row r="65" spans="3:6" s="337" customFormat="1" x14ac:dyDescent="0.25">
      <c r="C65" s="338"/>
      <c r="E65" s="338"/>
      <c r="F65" s="338"/>
    </row>
    <row r="66" spans="3:6" s="337" customFormat="1" x14ac:dyDescent="0.25">
      <c r="C66" s="338"/>
      <c r="E66" s="338"/>
      <c r="F66" s="338"/>
    </row>
    <row r="67" spans="3:6" s="337" customFormat="1" x14ac:dyDescent="0.25">
      <c r="C67" s="338"/>
      <c r="E67" s="338"/>
      <c r="F67" s="338"/>
    </row>
    <row r="68" spans="3:6" s="337" customFormat="1" x14ac:dyDescent="0.25">
      <c r="C68" s="338"/>
      <c r="E68" s="338"/>
      <c r="F68" s="338"/>
    </row>
    <row r="69" spans="3:6" s="337" customFormat="1" x14ac:dyDescent="0.25">
      <c r="C69" s="338"/>
      <c r="E69" s="338"/>
      <c r="F69" s="338"/>
    </row>
    <row r="70" spans="3:6" s="337" customFormat="1" x14ac:dyDescent="0.25">
      <c r="C70" s="338"/>
      <c r="E70" s="338"/>
      <c r="F70" s="338"/>
    </row>
    <row r="71" spans="3:6" s="337" customFormat="1" x14ac:dyDescent="0.25">
      <c r="C71" s="338"/>
      <c r="E71" s="338"/>
      <c r="F71" s="338"/>
    </row>
    <row r="72" spans="3:6" s="337" customFormat="1" x14ac:dyDescent="0.25">
      <c r="C72" s="338"/>
      <c r="E72" s="338"/>
      <c r="F72" s="338"/>
    </row>
    <row r="73" spans="3:6" s="337" customFormat="1" x14ac:dyDescent="0.25">
      <c r="C73" s="338"/>
      <c r="E73" s="338"/>
      <c r="F73" s="338"/>
    </row>
    <row r="74" spans="3:6" s="337" customFormat="1" x14ac:dyDescent="0.25">
      <c r="C74" s="338"/>
      <c r="E74" s="338"/>
      <c r="F74" s="338"/>
    </row>
    <row r="75" spans="3:6" s="337" customFormat="1" x14ac:dyDescent="0.25">
      <c r="C75" s="338"/>
      <c r="E75" s="338"/>
      <c r="F75" s="338"/>
    </row>
    <row r="76" spans="3:6" s="337" customFormat="1" x14ac:dyDescent="0.25">
      <c r="C76" s="338"/>
      <c r="E76" s="338"/>
      <c r="F76" s="338"/>
    </row>
    <row r="77" spans="3:6" s="337" customFormat="1" x14ac:dyDescent="0.25">
      <c r="C77" s="338"/>
      <c r="E77" s="338"/>
      <c r="F77" s="338"/>
    </row>
    <row r="78" spans="3:6" s="337" customFormat="1" x14ac:dyDescent="0.25">
      <c r="C78" s="338"/>
      <c r="E78" s="338"/>
      <c r="F78" s="338"/>
    </row>
    <row r="79" spans="3:6" s="337" customFormat="1" x14ac:dyDescent="0.25">
      <c r="C79" s="338"/>
      <c r="E79" s="338"/>
      <c r="F79" s="338"/>
    </row>
    <row r="80" spans="3:6" s="337" customFormat="1" x14ac:dyDescent="0.25">
      <c r="C80" s="338"/>
      <c r="E80" s="338"/>
      <c r="F80" s="338"/>
    </row>
    <row r="81" spans="3:6" s="337" customFormat="1" x14ac:dyDescent="0.25">
      <c r="C81" s="338"/>
      <c r="E81" s="338"/>
      <c r="F81" s="338"/>
    </row>
    <row r="82" spans="3:6" s="337" customFormat="1" x14ac:dyDescent="0.25">
      <c r="C82" s="338"/>
      <c r="E82" s="338"/>
      <c r="F82" s="338"/>
    </row>
    <row r="83" spans="3:6" s="337" customFormat="1" x14ac:dyDescent="0.25">
      <c r="C83" s="338"/>
      <c r="E83" s="338"/>
      <c r="F83" s="338"/>
    </row>
    <row r="84" spans="3:6" s="337" customFormat="1" x14ac:dyDescent="0.25">
      <c r="C84" s="338"/>
      <c r="E84" s="338"/>
      <c r="F84" s="338"/>
    </row>
    <row r="85" spans="3:6" s="337" customFormat="1" x14ac:dyDescent="0.25">
      <c r="C85" s="338"/>
      <c r="E85" s="338"/>
      <c r="F85" s="338"/>
    </row>
    <row r="86" spans="3:6" s="337" customFormat="1" x14ac:dyDescent="0.25">
      <c r="C86" s="338"/>
      <c r="E86" s="338"/>
      <c r="F86" s="338"/>
    </row>
    <row r="87" spans="3:6" s="337" customFormat="1" x14ac:dyDescent="0.25">
      <c r="C87" s="338"/>
      <c r="E87" s="338"/>
      <c r="F87" s="338"/>
    </row>
    <row r="88" spans="3:6" s="337" customFormat="1" x14ac:dyDescent="0.25">
      <c r="C88" s="338"/>
      <c r="E88" s="338"/>
      <c r="F88" s="338"/>
    </row>
    <row r="89" spans="3:6" s="337" customFormat="1" x14ac:dyDescent="0.25">
      <c r="C89" s="338"/>
      <c r="E89" s="338"/>
      <c r="F89" s="338"/>
    </row>
    <row r="90" spans="3:6" s="337" customFormat="1" x14ac:dyDescent="0.25">
      <c r="C90" s="338"/>
      <c r="E90" s="338"/>
      <c r="F90" s="338"/>
    </row>
    <row r="91" spans="3:6" s="337" customFormat="1" x14ac:dyDescent="0.25">
      <c r="C91" s="338"/>
      <c r="E91" s="338"/>
      <c r="F91" s="338"/>
    </row>
    <row r="92" spans="3:6" s="337" customFormat="1" x14ac:dyDescent="0.25">
      <c r="C92" s="338"/>
      <c r="E92" s="338"/>
      <c r="F92" s="338"/>
    </row>
    <row r="93" spans="3:6" s="337" customFormat="1" x14ac:dyDescent="0.25">
      <c r="C93" s="338"/>
      <c r="E93" s="338"/>
      <c r="F93" s="338"/>
    </row>
    <row r="94" spans="3:6" s="337" customFormat="1" x14ac:dyDescent="0.25">
      <c r="C94" s="338"/>
      <c r="E94" s="338"/>
      <c r="F94" s="338"/>
    </row>
    <row r="95" spans="3:6" s="337" customFormat="1" x14ac:dyDescent="0.25">
      <c r="C95" s="338"/>
      <c r="E95" s="338"/>
      <c r="F95" s="338"/>
    </row>
    <row r="96" spans="3:6" s="337" customFormat="1" x14ac:dyDescent="0.25">
      <c r="C96" s="338"/>
      <c r="E96" s="338"/>
      <c r="F96" s="338"/>
    </row>
    <row r="97" spans="3:6" s="337" customFormat="1" x14ac:dyDescent="0.25">
      <c r="C97" s="338"/>
      <c r="E97" s="338"/>
      <c r="F97" s="338"/>
    </row>
    <row r="98" spans="3:6" s="337" customFormat="1" x14ac:dyDescent="0.25">
      <c r="C98" s="338"/>
      <c r="E98" s="338"/>
      <c r="F98" s="338"/>
    </row>
    <row r="99" spans="3:6" s="337" customFormat="1" x14ac:dyDescent="0.25">
      <c r="C99" s="338"/>
      <c r="E99" s="338"/>
      <c r="F99" s="338"/>
    </row>
    <row r="100" spans="3:6" s="337" customFormat="1" x14ac:dyDescent="0.25">
      <c r="C100" s="338"/>
      <c r="E100" s="338"/>
      <c r="F100" s="338"/>
    </row>
    <row r="101" spans="3:6" s="337" customFormat="1" x14ac:dyDescent="0.25">
      <c r="C101" s="338"/>
      <c r="E101" s="338"/>
      <c r="F101" s="338"/>
    </row>
    <row r="102" spans="3:6" s="337" customFormat="1" x14ac:dyDescent="0.25">
      <c r="C102" s="338"/>
      <c r="E102" s="338"/>
      <c r="F102" s="338"/>
    </row>
    <row r="103" spans="3:6" s="337" customFormat="1" x14ac:dyDescent="0.25">
      <c r="C103" s="338"/>
      <c r="E103" s="338"/>
      <c r="F103" s="338"/>
    </row>
    <row r="104" spans="3:6" s="337" customFormat="1" x14ac:dyDescent="0.25">
      <c r="C104" s="338"/>
      <c r="E104" s="338"/>
      <c r="F104" s="338"/>
    </row>
    <row r="105" spans="3:6" s="337" customFormat="1" x14ac:dyDescent="0.25">
      <c r="C105" s="338"/>
      <c r="E105" s="338"/>
      <c r="F105" s="338"/>
    </row>
    <row r="106" spans="3:6" s="337" customFormat="1" x14ac:dyDescent="0.25">
      <c r="C106" s="338"/>
      <c r="E106" s="338"/>
      <c r="F106" s="338"/>
    </row>
    <row r="107" spans="3:6" s="337" customFormat="1" x14ac:dyDescent="0.25">
      <c r="C107" s="338"/>
      <c r="E107" s="338"/>
      <c r="F107" s="338"/>
    </row>
    <row r="108" spans="3:6" s="337" customFormat="1" x14ac:dyDescent="0.25">
      <c r="C108" s="338"/>
      <c r="E108" s="338"/>
      <c r="F108" s="338"/>
    </row>
    <row r="109" spans="3:6" s="337" customFormat="1" x14ac:dyDescent="0.25">
      <c r="C109" s="338"/>
      <c r="E109" s="338"/>
      <c r="F109" s="338"/>
    </row>
    <row r="110" spans="3:6" s="337" customFormat="1" x14ac:dyDescent="0.25">
      <c r="C110" s="338"/>
      <c r="E110" s="338"/>
      <c r="F110" s="338"/>
    </row>
    <row r="111" spans="3:6" s="337" customFormat="1" x14ac:dyDescent="0.25">
      <c r="C111" s="338"/>
      <c r="E111" s="338"/>
      <c r="F111" s="338"/>
    </row>
    <row r="112" spans="3:6" s="337" customFormat="1" x14ac:dyDescent="0.25">
      <c r="C112" s="338"/>
      <c r="E112" s="338"/>
      <c r="F112" s="338"/>
    </row>
    <row r="113" spans="3:6" s="337" customFormat="1" x14ac:dyDescent="0.25">
      <c r="C113" s="338"/>
      <c r="E113" s="338"/>
      <c r="F113" s="338"/>
    </row>
    <row r="114" spans="3:6" s="337" customFormat="1" x14ac:dyDescent="0.25">
      <c r="C114" s="338"/>
      <c r="E114" s="338"/>
      <c r="F114" s="338"/>
    </row>
    <row r="115" spans="3:6" s="337" customFormat="1" x14ac:dyDescent="0.25">
      <c r="C115" s="338"/>
      <c r="E115" s="338"/>
      <c r="F115" s="338"/>
    </row>
    <row r="116" spans="3:6" s="337" customFormat="1" x14ac:dyDescent="0.25">
      <c r="C116" s="338"/>
      <c r="E116" s="338"/>
      <c r="F116" s="338"/>
    </row>
    <row r="117" spans="3:6" s="337" customFormat="1" x14ac:dyDescent="0.25">
      <c r="C117" s="338"/>
      <c r="E117" s="338"/>
      <c r="F117" s="338"/>
    </row>
    <row r="118" spans="3:6" s="337" customFormat="1" x14ac:dyDescent="0.25">
      <c r="C118" s="338"/>
      <c r="E118" s="338"/>
      <c r="F118" s="338"/>
    </row>
    <row r="119" spans="3:6" s="337" customFormat="1" x14ac:dyDescent="0.25">
      <c r="C119" s="338"/>
      <c r="E119" s="338"/>
      <c r="F119" s="338"/>
    </row>
    <row r="120" spans="3:6" s="337" customFormat="1" x14ac:dyDescent="0.25">
      <c r="C120" s="338"/>
      <c r="E120" s="338"/>
      <c r="F120" s="338"/>
    </row>
    <row r="121" spans="3:6" s="337" customFormat="1" x14ac:dyDescent="0.25">
      <c r="C121" s="338"/>
      <c r="E121" s="338"/>
      <c r="F121" s="338"/>
    </row>
    <row r="122" spans="3:6" s="337" customFormat="1" x14ac:dyDescent="0.25">
      <c r="C122" s="338"/>
      <c r="E122" s="338"/>
      <c r="F122" s="338"/>
    </row>
    <row r="123" spans="3:6" s="337" customFormat="1" x14ac:dyDescent="0.25">
      <c r="C123" s="338"/>
      <c r="E123" s="338"/>
      <c r="F123" s="338"/>
    </row>
    <row r="124" spans="3:6" s="337" customFormat="1" x14ac:dyDescent="0.25">
      <c r="C124" s="338"/>
      <c r="E124" s="338"/>
      <c r="F124" s="338"/>
    </row>
    <row r="125" spans="3:6" s="337" customFormat="1" x14ac:dyDescent="0.25">
      <c r="C125" s="338"/>
      <c r="E125" s="338"/>
      <c r="F125" s="338"/>
    </row>
    <row r="126" spans="3:6" s="337" customFormat="1" x14ac:dyDescent="0.25">
      <c r="C126" s="338"/>
      <c r="E126" s="338"/>
      <c r="F126" s="338"/>
    </row>
    <row r="127" spans="3:6" s="337" customFormat="1" x14ac:dyDescent="0.25">
      <c r="C127" s="338"/>
      <c r="E127" s="338"/>
      <c r="F127" s="338"/>
    </row>
    <row r="128" spans="3:6" s="337" customFormat="1" x14ac:dyDescent="0.25">
      <c r="C128" s="338"/>
      <c r="E128" s="338"/>
      <c r="F128" s="338"/>
    </row>
    <row r="129" spans="3:6" s="337" customFormat="1" x14ac:dyDescent="0.25">
      <c r="C129" s="338"/>
      <c r="E129" s="338"/>
      <c r="F129" s="338"/>
    </row>
    <row r="130" spans="3:6" s="337" customFormat="1" x14ac:dyDescent="0.25">
      <c r="C130" s="338"/>
      <c r="E130" s="338"/>
      <c r="F130" s="338"/>
    </row>
    <row r="131" spans="3:6" s="337" customFormat="1" x14ac:dyDescent="0.25">
      <c r="C131" s="338"/>
      <c r="E131" s="338"/>
      <c r="F131" s="338"/>
    </row>
    <row r="132" spans="3:6" s="337" customFormat="1" x14ac:dyDescent="0.25">
      <c r="C132" s="338"/>
      <c r="E132" s="338"/>
      <c r="F132" s="338"/>
    </row>
    <row r="133" spans="3:6" s="337" customFormat="1" x14ac:dyDescent="0.25">
      <c r="C133" s="338"/>
      <c r="E133" s="338"/>
      <c r="F133" s="338"/>
    </row>
    <row r="134" spans="3:6" s="337" customFormat="1" x14ac:dyDescent="0.25">
      <c r="C134" s="338"/>
      <c r="E134" s="338"/>
      <c r="F134" s="338"/>
    </row>
    <row r="135" spans="3:6" s="337" customFormat="1" x14ac:dyDescent="0.25">
      <c r="C135" s="338"/>
      <c r="E135" s="338"/>
      <c r="F135" s="338"/>
    </row>
    <row r="136" spans="3:6" s="337" customFormat="1" x14ac:dyDescent="0.25">
      <c r="C136" s="338"/>
      <c r="E136" s="338"/>
      <c r="F136" s="338"/>
    </row>
    <row r="137" spans="3:6" s="337" customFormat="1" x14ac:dyDescent="0.25">
      <c r="C137" s="338"/>
      <c r="E137" s="338"/>
      <c r="F137" s="338"/>
    </row>
    <row r="138" spans="3:6" s="337" customFormat="1" x14ac:dyDescent="0.25">
      <c r="C138" s="338"/>
      <c r="E138" s="338"/>
      <c r="F138" s="338"/>
    </row>
    <row r="139" spans="3:6" s="337" customFormat="1" x14ac:dyDescent="0.25">
      <c r="C139" s="338"/>
      <c r="E139" s="338"/>
      <c r="F139" s="338"/>
    </row>
    <row r="140" spans="3:6" s="337" customFormat="1" x14ac:dyDescent="0.25">
      <c r="C140" s="338"/>
      <c r="E140" s="338"/>
      <c r="F140" s="338"/>
    </row>
    <row r="141" spans="3:6" s="337" customFormat="1" x14ac:dyDescent="0.25">
      <c r="C141" s="338"/>
      <c r="E141" s="338"/>
      <c r="F141" s="338"/>
    </row>
    <row r="142" spans="3:6" s="337" customFormat="1" x14ac:dyDescent="0.25">
      <c r="C142" s="338"/>
      <c r="E142" s="338"/>
      <c r="F142" s="338"/>
    </row>
    <row r="143" spans="3:6" s="337" customFormat="1" x14ac:dyDescent="0.25">
      <c r="C143" s="338"/>
      <c r="E143" s="338"/>
      <c r="F143" s="338"/>
    </row>
    <row r="144" spans="3:6" s="337" customFormat="1" x14ac:dyDescent="0.25">
      <c r="C144" s="338"/>
      <c r="E144" s="338"/>
      <c r="F144" s="338"/>
    </row>
    <row r="145" spans="3:6" s="337" customFormat="1" x14ac:dyDescent="0.25">
      <c r="C145" s="338"/>
      <c r="E145" s="338"/>
      <c r="F145" s="338"/>
    </row>
    <row r="146" spans="3:6" s="337" customFormat="1" x14ac:dyDescent="0.25">
      <c r="C146" s="338"/>
      <c r="E146" s="338"/>
      <c r="F146" s="338"/>
    </row>
    <row r="147" spans="3:6" s="337" customFormat="1" x14ac:dyDescent="0.25">
      <c r="C147" s="338"/>
      <c r="E147" s="338"/>
      <c r="F147" s="338"/>
    </row>
    <row r="148" spans="3:6" s="337" customFormat="1" x14ac:dyDescent="0.25">
      <c r="C148" s="338"/>
      <c r="E148" s="338"/>
      <c r="F148" s="338"/>
    </row>
    <row r="149" spans="3:6" s="337" customFormat="1" x14ac:dyDescent="0.25">
      <c r="C149" s="338"/>
      <c r="E149" s="338"/>
      <c r="F149" s="338"/>
    </row>
    <row r="150" spans="3:6" s="337" customFormat="1" x14ac:dyDescent="0.25">
      <c r="C150" s="338"/>
      <c r="E150" s="338"/>
      <c r="F150" s="338"/>
    </row>
    <row r="151" spans="3:6" s="337" customFormat="1" x14ac:dyDescent="0.25">
      <c r="C151" s="338"/>
      <c r="E151" s="338"/>
      <c r="F151" s="338"/>
    </row>
    <row r="152" spans="3:6" s="337" customFormat="1" x14ac:dyDescent="0.25">
      <c r="C152" s="338"/>
      <c r="E152" s="338"/>
      <c r="F152" s="338"/>
    </row>
    <row r="153" spans="3:6" s="337" customFormat="1" x14ac:dyDescent="0.25">
      <c r="C153" s="338"/>
      <c r="E153" s="338"/>
      <c r="F153" s="338"/>
    </row>
    <row r="154" spans="3:6" s="337" customFormat="1" x14ac:dyDescent="0.25">
      <c r="C154" s="338"/>
      <c r="E154" s="338"/>
      <c r="F154" s="338"/>
    </row>
    <row r="155" spans="3:6" s="337" customFormat="1" x14ac:dyDescent="0.25">
      <c r="C155" s="338"/>
      <c r="E155" s="338"/>
      <c r="F155" s="338"/>
    </row>
    <row r="156" spans="3:6" s="337" customFormat="1" x14ac:dyDescent="0.25">
      <c r="C156" s="338"/>
      <c r="E156" s="338"/>
      <c r="F156" s="338"/>
    </row>
    <row r="157" spans="3:6" s="337" customFormat="1" x14ac:dyDescent="0.25">
      <c r="C157" s="338"/>
      <c r="E157" s="338"/>
      <c r="F157" s="338"/>
    </row>
    <row r="158" spans="3:6" s="337" customFormat="1" x14ac:dyDescent="0.25">
      <c r="C158" s="338"/>
      <c r="E158" s="338"/>
      <c r="F158" s="338"/>
    </row>
    <row r="159" spans="3:6" s="337" customFormat="1" x14ac:dyDescent="0.25">
      <c r="C159" s="338"/>
      <c r="E159" s="338"/>
      <c r="F159" s="338"/>
    </row>
    <row r="160" spans="3:6" s="337" customFormat="1" x14ac:dyDescent="0.25">
      <c r="C160" s="338"/>
      <c r="E160" s="338"/>
      <c r="F160" s="338"/>
    </row>
    <row r="161" spans="3:6" s="337" customFormat="1" x14ac:dyDescent="0.25">
      <c r="C161" s="338"/>
      <c r="E161" s="338"/>
      <c r="F161" s="338"/>
    </row>
    <row r="162" spans="3:6" s="337" customFormat="1" x14ac:dyDescent="0.25">
      <c r="C162" s="338"/>
      <c r="E162" s="338"/>
      <c r="F162" s="338"/>
    </row>
    <row r="163" spans="3:6" s="337" customFormat="1" x14ac:dyDescent="0.25">
      <c r="C163" s="338"/>
      <c r="E163" s="338"/>
      <c r="F163" s="338"/>
    </row>
    <row r="164" spans="3:6" s="337" customFormat="1" x14ac:dyDescent="0.25">
      <c r="C164" s="338"/>
      <c r="E164" s="338"/>
      <c r="F164" s="338"/>
    </row>
    <row r="165" spans="3:6" s="337" customFormat="1" x14ac:dyDescent="0.25">
      <c r="C165" s="338"/>
      <c r="E165" s="338"/>
      <c r="F165" s="338"/>
    </row>
    <row r="166" spans="3:6" s="337" customFormat="1" x14ac:dyDescent="0.25">
      <c r="C166" s="338"/>
      <c r="E166" s="338"/>
      <c r="F166" s="338"/>
    </row>
    <row r="167" spans="3:6" s="337" customFormat="1" x14ac:dyDescent="0.25">
      <c r="C167" s="338"/>
      <c r="E167" s="338"/>
      <c r="F167" s="338"/>
    </row>
    <row r="168" spans="3:6" s="337" customFormat="1" x14ac:dyDescent="0.25">
      <c r="C168" s="338"/>
      <c r="E168" s="338"/>
      <c r="F168" s="338"/>
    </row>
    <row r="169" spans="3:6" s="337" customFormat="1" x14ac:dyDescent="0.25">
      <c r="C169" s="338"/>
      <c r="E169" s="338"/>
      <c r="F169" s="338"/>
    </row>
    <row r="170" spans="3:6" s="337" customFormat="1" x14ac:dyDescent="0.25">
      <c r="C170" s="338"/>
      <c r="E170" s="338"/>
      <c r="F170" s="338"/>
    </row>
    <row r="171" spans="3:6" s="337" customFormat="1" x14ac:dyDescent="0.25">
      <c r="C171" s="338"/>
      <c r="E171" s="338"/>
      <c r="F171" s="338"/>
    </row>
    <row r="172" spans="3:6" s="337" customFormat="1" x14ac:dyDescent="0.25">
      <c r="C172" s="338"/>
      <c r="E172" s="338"/>
      <c r="F172" s="338"/>
    </row>
    <row r="173" spans="3:6" s="337" customFormat="1" x14ac:dyDescent="0.25">
      <c r="C173" s="338"/>
      <c r="E173" s="338"/>
      <c r="F173" s="338"/>
    </row>
    <row r="174" spans="3:6" s="337" customFormat="1" x14ac:dyDescent="0.25">
      <c r="C174" s="338"/>
      <c r="E174" s="338"/>
      <c r="F174" s="338"/>
    </row>
    <row r="175" spans="3:6" s="337" customFormat="1" x14ac:dyDescent="0.25">
      <c r="C175" s="338"/>
      <c r="E175" s="338"/>
      <c r="F175" s="338"/>
    </row>
    <row r="176" spans="3:6" s="337" customFormat="1" x14ac:dyDescent="0.25">
      <c r="C176" s="338"/>
      <c r="E176" s="338"/>
      <c r="F176" s="338"/>
    </row>
    <row r="177" spans="3:6" s="337" customFormat="1" x14ac:dyDescent="0.25">
      <c r="C177" s="338"/>
      <c r="E177" s="338"/>
      <c r="F177" s="338"/>
    </row>
    <row r="178" spans="3:6" s="337" customFormat="1" x14ac:dyDescent="0.25">
      <c r="C178" s="338"/>
      <c r="E178" s="338"/>
      <c r="F178" s="338"/>
    </row>
    <row r="179" spans="3:6" s="337" customFormat="1" x14ac:dyDescent="0.25">
      <c r="C179" s="338"/>
      <c r="E179" s="338"/>
      <c r="F179" s="338"/>
    </row>
    <row r="180" spans="3:6" s="337" customFormat="1" x14ac:dyDescent="0.25">
      <c r="C180" s="338"/>
      <c r="E180" s="338"/>
      <c r="F180" s="338"/>
    </row>
    <row r="181" spans="3:6" s="337" customFormat="1" x14ac:dyDescent="0.25">
      <c r="C181" s="338"/>
      <c r="E181" s="338"/>
      <c r="F181" s="338"/>
    </row>
    <row r="182" spans="3:6" s="337" customFormat="1" x14ac:dyDescent="0.25">
      <c r="C182" s="338"/>
      <c r="E182" s="338"/>
      <c r="F182" s="338"/>
    </row>
    <row r="183" spans="3:6" s="337" customFormat="1" x14ac:dyDescent="0.25">
      <c r="C183" s="338"/>
      <c r="E183" s="338"/>
      <c r="F183" s="338"/>
    </row>
    <row r="184" spans="3:6" s="337" customFormat="1" x14ac:dyDescent="0.25">
      <c r="C184" s="338"/>
      <c r="E184" s="338"/>
      <c r="F184" s="338"/>
    </row>
    <row r="185" spans="3:6" s="337" customFormat="1" x14ac:dyDescent="0.25">
      <c r="C185" s="338"/>
      <c r="E185" s="338"/>
      <c r="F185" s="338"/>
    </row>
    <row r="186" spans="3:6" s="337" customFormat="1" x14ac:dyDescent="0.25">
      <c r="C186" s="338"/>
      <c r="E186" s="338"/>
      <c r="F186" s="338"/>
    </row>
    <row r="187" spans="3:6" s="337" customFormat="1" x14ac:dyDescent="0.25">
      <c r="C187" s="338"/>
      <c r="E187" s="338"/>
      <c r="F187" s="338"/>
    </row>
    <row r="188" spans="3:6" s="337" customFormat="1" x14ac:dyDescent="0.25">
      <c r="C188" s="338"/>
      <c r="E188" s="338"/>
      <c r="F188" s="338"/>
    </row>
    <row r="189" spans="3:6" s="337" customFormat="1" x14ac:dyDescent="0.25">
      <c r="C189" s="338"/>
      <c r="E189" s="338"/>
      <c r="F189" s="338"/>
    </row>
    <row r="190" spans="3:6" s="337" customFormat="1" x14ac:dyDescent="0.25">
      <c r="C190" s="338"/>
      <c r="E190" s="338"/>
      <c r="F190" s="338"/>
    </row>
    <row r="191" spans="3:6" s="337" customFormat="1" x14ac:dyDescent="0.25">
      <c r="C191" s="338"/>
      <c r="E191" s="338"/>
      <c r="F191" s="338"/>
    </row>
    <row r="192" spans="3:6" s="337" customFormat="1" x14ac:dyDescent="0.25">
      <c r="C192" s="338"/>
      <c r="E192" s="338"/>
      <c r="F192" s="338"/>
    </row>
    <row r="193" spans="3:6" s="337" customFormat="1" x14ac:dyDescent="0.25">
      <c r="C193" s="338"/>
      <c r="E193" s="338"/>
      <c r="F193" s="338"/>
    </row>
    <row r="194" spans="3:6" s="337" customFormat="1" x14ac:dyDescent="0.25">
      <c r="C194" s="338"/>
      <c r="E194" s="338"/>
      <c r="F194" s="338"/>
    </row>
    <row r="195" spans="3:6" s="337" customFormat="1" x14ac:dyDescent="0.25">
      <c r="C195" s="338"/>
      <c r="E195" s="338"/>
      <c r="F195" s="338"/>
    </row>
    <row r="196" spans="3:6" s="337" customFormat="1" x14ac:dyDescent="0.25">
      <c r="C196" s="338"/>
      <c r="E196" s="338"/>
      <c r="F196" s="338"/>
    </row>
    <row r="197" spans="3:6" s="337" customFormat="1" x14ac:dyDescent="0.25">
      <c r="C197" s="338"/>
      <c r="E197" s="338"/>
      <c r="F197" s="338"/>
    </row>
    <row r="198" spans="3:6" s="337" customFormat="1" x14ac:dyDescent="0.25">
      <c r="C198" s="338"/>
      <c r="E198" s="338"/>
      <c r="F198" s="338"/>
    </row>
    <row r="199" spans="3:6" s="337" customFormat="1" x14ac:dyDescent="0.25">
      <c r="C199" s="338"/>
      <c r="E199" s="338"/>
      <c r="F199" s="338"/>
    </row>
    <row r="200" spans="3:6" s="337" customFormat="1" x14ac:dyDescent="0.25">
      <c r="C200" s="338"/>
      <c r="E200" s="338"/>
      <c r="F200" s="338"/>
    </row>
    <row r="201" spans="3:6" s="337" customFormat="1" x14ac:dyDescent="0.25">
      <c r="C201" s="338"/>
      <c r="E201" s="338"/>
      <c r="F201" s="338"/>
    </row>
    <row r="202" spans="3:6" s="337" customFormat="1" x14ac:dyDescent="0.25">
      <c r="C202" s="338"/>
      <c r="E202" s="338"/>
      <c r="F202" s="338"/>
    </row>
    <row r="203" spans="3:6" s="337" customFormat="1" x14ac:dyDescent="0.25">
      <c r="C203" s="338"/>
      <c r="E203" s="338"/>
      <c r="F203" s="338"/>
    </row>
    <row r="204" spans="3:6" s="337" customFormat="1" x14ac:dyDescent="0.25">
      <c r="C204" s="338"/>
      <c r="E204" s="338"/>
      <c r="F204" s="338"/>
    </row>
    <row r="205" spans="3:6" s="337" customFormat="1" x14ac:dyDescent="0.25">
      <c r="C205" s="338"/>
      <c r="E205" s="338"/>
      <c r="F205" s="338"/>
    </row>
    <row r="206" spans="3:6" s="337" customFormat="1" x14ac:dyDescent="0.25">
      <c r="C206" s="338"/>
      <c r="E206" s="338"/>
      <c r="F206" s="338"/>
    </row>
    <row r="207" spans="3:6" s="337" customFormat="1" x14ac:dyDescent="0.25">
      <c r="C207" s="338"/>
      <c r="E207" s="338"/>
      <c r="F207" s="338"/>
    </row>
    <row r="208" spans="3:6" s="337" customFormat="1" x14ac:dyDescent="0.25">
      <c r="C208" s="338"/>
      <c r="E208" s="338"/>
      <c r="F208" s="338"/>
    </row>
    <row r="209" spans="3:6" s="337" customFormat="1" x14ac:dyDescent="0.25">
      <c r="C209" s="338"/>
      <c r="E209" s="338"/>
      <c r="F209" s="338"/>
    </row>
    <row r="210" spans="3:6" s="337" customFormat="1" x14ac:dyDescent="0.25">
      <c r="C210" s="338"/>
      <c r="E210" s="338"/>
      <c r="F210" s="338"/>
    </row>
    <row r="211" spans="3:6" s="337" customFormat="1" x14ac:dyDescent="0.25">
      <c r="C211" s="338"/>
      <c r="E211" s="338"/>
      <c r="F211" s="338"/>
    </row>
    <row r="212" spans="3:6" s="337" customFormat="1" x14ac:dyDescent="0.25">
      <c r="C212" s="338"/>
      <c r="E212" s="338"/>
      <c r="F212" s="338"/>
    </row>
    <row r="213" spans="3:6" s="337" customFormat="1" x14ac:dyDescent="0.25">
      <c r="C213" s="338"/>
      <c r="E213" s="338"/>
      <c r="F213" s="338"/>
    </row>
    <row r="214" spans="3:6" s="337" customFormat="1" x14ac:dyDescent="0.25">
      <c r="C214" s="338"/>
      <c r="E214" s="338"/>
      <c r="F214" s="338"/>
    </row>
    <row r="215" spans="3:6" s="337" customFormat="1" x14ac:dyDescent="0.25">
      <c r="C215" s="338"/>
      <c r="E215" s="338"/>
      <c r="F215" s="338"/>
    </row>
    <row r="216" spans="3:6" s="337" customFormat="1" x14ac:dyDescent="0.25">
      <c r="C216" s="338"/>
      <c r="E216" s="338"/>
      <c r="F216" s="338"/>
    </row>
    <row r="217" spans="3:6" s="337" customFormat="1" x14ac:dyDescent="0.25">
      <c r="C217" s="338"/>
      <c r="E217" s="338"/>
      <c r="F217" s="338"/>
    </row>
    <row r="218" spans="3:6" s="337" customFormat="1" x14ac:dyDescent="0.25">
      <c r="C218" s="338"/>
      <c r="E218" s="338"/>
      <c r="F218" s="338"/>
    </row>
    <row r="219" spans="3:6" s="337" customFormat="1" x14ac:dyDescent="0.25">
      <c r="C219" s="338"/>
      <c r="E219" s="338"/>
      <c r="F219" s="338"/>
    </row>
    <row r="220" spans="3:6" s="337" customFormat="1" x14ac:dyDescent="0.25">
      <c r="C220" s="338"/>
      <c r="E220" s="338"/>
      <c r="F220" s="338"/>
    </row>
    <row r="221" spans="3:6" s="337" customFormat="1" x14ac:dyDescent="0.25">
      <c r="C221" s="338"/>
      <c r="E221" s="338"/>
      <c r="F221" s="338"/>
    </row>
    <row r="222" spans="3:6" s="337" customFormat="1" x14ac:dyDescent="0.25">
      <c r="C222" s="338"/>
      <c r="E222" s="338"/>
      <c r="F222" s="338"/>
    </row>
    <row r="223" spans="3:6" s="337" customFormat="1" x14ac:dyDescent="0.25">
      <c r="C223" s="338"/>
      <c r="E223" s="338"/>
      <c r="F223" s="338"/>
    </row>
    <row r="224" spans="3:6" s="337" customFormat="1" x14ac:dyDescent="0.25">
      <c r="C224" s="338"/>
      <c r="E224" s="338"/>
      <c r="F224" s="338"/>
    </row>
    <row r="225" spans="3:6" s="337" customFormat="1" x14ac:dyDescent="0.25">
      <c r="C225" s="338"/>
      <c r="E225" s="338"/>
      <c r="F225" s="338"/>
    </row>
    <row r="226" spans="3:6" s="337" customFormat="1" x14ac:dyDescent="0.25">
      <c r="C226" s="338"/>
      <c r="E226" s="338"/>
      <c r="F226" s="338"/>
    </row>
    <row r="227" spans="3:6" s="337" customFormat="1" x14ac:dyDescent="0.25">
      <c r="C227" s="338"/>
      <c r="E227" s="338"/>
      <c r="F227" s="338"/>
    </row>
    <row r="228" spans="3:6" s="337" customFormat="1" x14ac:dyDescent="0.25">
      <c r="C228" s="338"/>
      <c r="E228" s="338"/>
      <c r="F228" s="338"/>
    </row>
    <row r="229" spans="3:6" s="337" customFormat="1" x14ac:dyDescent="0.25">
      <c r="C229" s="338"/>
      <c r="E229" s="338"/>
      <c r="F229" s="338"/>
    </row>
    <row r="230" spans="3:6" s="337" customFormat="1" x14ac:dyDescent="0.25">
      <c r="C230" s="338"/>
      <c r="E230" s="338"/>
      <c r="F230" s="338"/>
    </row>
    <row r="231" spans="3:6" s="337" customFormat="1" x14ac:dyDescent="0.25">
      <c r="C231" s="338"/>
      <c r="E231" s="338"/>
      <c r="F231" s="338"/>
    </row>
    <row r="232" spans="3:6" s="337" customFormat="1" x14ac:dyDescent="0.25">
      <c r="C232" s="338"/>
      <c r="E232" s="338"/>
      <c r="F232" s="338"/>
    </row>
    <row r="233" spans="3:6" s="337" customFormat="1" x14ac:dyDescent="0.25">
      <c r="C233" s="338"/>
      <c r="E233" s="338"/>
      <c r="F233" s="338"/>
    </row>
    <row r="234" spans="3:6" s="337" customFormat="1" x14ac:dyDescent="0.25">
      <c r="C234" s="338"/>
      <c r="E234" s="338"/>
      <c r="F234" s="338"/>
    </row>
    <row r="235" spans="3:6" s="337" customFormat="1" x14ac:dyDescent="0.25">
      <c r="C235" s="338"/>
      <c r="E235" s="338"/>
      <c r="F235" s="338"/>
    </row>
    <row r="236" spans="3:6" s="337" customFormat="1" x14ac:dyDescent="0.25">
      <c r="C236" s="338"/>
      <c r="E236" s="338"/>
      <c r="F236" s="338"/>
    </row>
    <row r="237" spans="3:6" s="337" customFormat="1" x14ac:dyDescent="0.25">
      <c r="C237" s="338"/>
      <c r="E237" s="338"/>
      <c r="F237" s="338"/>
    </row>
    <row r="238" spans="3:6" s="337" customFormat="1" x14ac:dyDescent="0.25">
      <c r="C238" s="338"/>
      <c r="E238" s="338"/>
      <c r="F238" s="338"/>
    </row>
    <row r="239" spans="3:6" s="337" customFormat="1" x14ac:dyDescent="0.25">
      <c r="C239" s="338"/>
      <c r="E239" s="338"/>
      <c r="F239" s="338"/>
    </row>
    <row r="240" spans="3:6" s="337" customFormat="1" x14ac:dyDescent="0.25">
      <c r="C240" s="338"/>
      <c r="E240" s="338"/>
      <c r="F240" s="338"/>
    </row>
    <row r="241" spans="3:6" s="337" customFormat="1" x14ac:dyDescent="0.25">
      <c r="C241" s="338"/>
      <c r="E241" s="338"/>
      <c r="F241" s="338"/>
    </row>
    <row r="242" spans="3:6" s="337" customFormat="1" x14ac:dyDescent="0.25">
      <c r="C242" s="338"/>
      <c r="E242" s="338"/>
      <c r="F242" s="338"/>
    </row>
    <row r="243" spans="3:6" s="337" customFormat="1" x14ac:dyDescent="0.25">
      <c r="C243" s="338"/>
      <c r="E243" s="338"/>
      <c r="F243" s="338"/>
    </row>
    <row r="244" spans="3:6" s="337" customFormat="1" x14ac:dyDescent="0.25">
      <c r="C244" s="338"/>
      <c r="E244" s="338"/>
      <c r="F244" s="338"/>
    </row>
    <row r="245" spans="3:6" s="337" customFormat="1" x14ac:dyDescent="0.25">
      <c r="C245" s="338"/>
      <c r="E245" s="338"/>
      <c r="F245" s="338"/>
    </row>
    <row r="246" spans="3:6" s="337" customFormat="1" x14ac:dyDescent="0.25">
      <c r="C246" s="338"/>
      <c r="E246" s="338"/>
      <c r="F246" s="338"/>
    </row>
    <row r="247" spans="3:6" s="337" customFormat="1" x14ac:dyDescent="0.25">
      <c r="C247" s="338"/>
      <c r="E247" s="338"/>
      <c r="F247" s="338"/>
    </row>
    <row r="248" spans="3:6" s="337" customFormat="1" x14ac:dyDescent="0.25">
      <c r="C248" s="338"/>
      <c r="E248" s="338"/>
      <c r="F248" s="338"/>
    </row>
    <row r="249" spans="3:6" s="337" customFormat="1" x14ac:dyDescent="0.25">
      <c r="C249" s="338"/>
      <c r="E249" s="338"/>
      <c r="F249" s="338"/>
    </row>
    <row r="250" spans="3:6" s="337" customFormat="1" x14ac:dyDescent="0.25">
      <c r="C250" s="338"/>
      <c r="E250" s="338"/>
      <c r="F250" s="338"/>
    </row>
    <row r="251" spans="3:6" s="337" customFormat="1" x14ac:dyDescent="0.25">
      <c r="C251" s="338"/>
      <c r="E251" s="338"/>
      <c r="F251" s="338"/>
    </row>
    <row r="252" spans="3:6" s="337" customFormat="1" x14ac:dyDescent="0.25">
      <c r="C252" s="338"/>
      <c r="E252" s="338"/>
      <c r="F252" s="338"/>
    </row>
    <row r="253" spans="3:6" s="337" customFormat="1" x14ac:dyDescent="0.25">
      <c r="C253" s="338"/>
      <c r="E253" s="338"/>
      <c r="F253" s="338"/>
    </row>
    <row r="254" spans="3:6" s="337" customFormat="1" x14ac:dyDescent="0.25">
      <c r="C254" s="338"/>
      <c r="E254" s="338"/>
      <c r="F254" s="338"/>
    </row>
    <row r="255" spans="3:6" s="337" customFormat="1" x14ac:dyDescent="0.25">
      <c r="C255" s="338"/>
      <c r="E255" s="338"/>
      <c r="F255" s="338"/>
    </row>
    <row r="256" spans="3:6" s="337" customFormat="1" x14ac:dyDescent="0.25">
      <c r="C256" s="338"/>
      <c r="E256" s="338"/>
      <c r="F256" s="338"/>
    </row>
    <row r="257" spans="3:6" s="337" customFormat="1" x14ac:dyDescent="0.25">
      <c r="C257" s="338"/>
      <c r="E257" s="338"/>
      <c r="F257" s="338"/>
    </row>
    <row r="258" spans="3:6" s="337" customFormat="1" x14ac:dyDescent="0.25">
      <c r="C258" s="338"/>
      <c r="E258" s="338"/>
      <c r="F258" s="338"/>
    </row>
    <row r="259" spans="3:6" s="337" customFormat="1" x14ac:dyDescent="0.25">
      <c r="C259" s="338"/>
      <c r="E259" s="338"/>
      <c r="F259" s="338"/>
    </row>
    <row r="260" spans="3:6" s="337" customFormat="1" x14ac:dyDescent="0.25">
      <c r="C260" s="338"/>
      <c r="E260" s="338"/>
      <c r="F260" s="338"/>
    </row>
    <row r="261" spans="3:6" s="337" customFormat="1" x14ac:dyDescent="0.25">
      <c r="C261" s="338"/>
      <c r="E261" s="338"/>
      <c r="F261" s="338"/>
    </row>
    <row r="262" spans="3:6" s="337" customFormat="1" x14ac:dyDescent="0.25">
      <c r="C262" s="338"/>
      <c r="E262" s="338"/>
      <c r="F262" s="338"/>
    </row>
    <row r="263" spans="3:6" s="337" customFormat="1" x14ac:dyDescent="0.25">
      <c r="C263" s="338"/>
      <c r="E263" s="338"/>
      <c r="F263" s="338"/>
    </row>
    <row r="264" spans="3:6" s="337" customFormat="1" x14ac:dyDescent="0.25">
      <c r="C264" s="338"/>
      <c r="E264" s="338"/>
      <c r="F264" s="338"/>
    </row>
    <row r="265" spans="3:6" s="337" customFormat="1" x14ac:dyDescent="0.25">
      <c r="C265" s="338"/>
      <c r="E265" s="338"/>
      <c r="F265" s="338"/>
    </row>
    <row r="266" spans="3:6" s="337" customFormat="1" x14ac:dyDescent="0.25">
      <c r="C266" s="338"/>
      <c r="E266" s="338"/>
      <c r="F266" s="338"/>
    </row>
    <row r="267" spans="3:6" s="337" customFormat="1" x14ac:dyDescent="0.25">
      <c r="C267" s="338"/>
      <c r="E267" s="338"/>
      <c r="F267" s="338"/>
    </row>
    <row r="268" spans="3:6" s="337" customFormat="1" x14ac:dyDescent="0.25">
      <c r="C268" s="338"/>
      <c r="E268" s="338"/>
      <c r="F268" s="338"/>
    </row>
    <row r="269" spans="3:6" s="337" customFormat="1" x14ac:dyDescent="0.25">
      <c r="C269" s="338"/>
      <c r="E269" s="338"/>
      <c r="F269" s="338"/>
    </row>
    <row r="270" spans="3:6" s="337" customFormat="1" x14ac:dyDescent="0.25">
      <c r="C270" s="338"/>
      <c r="E270" s="338"/>
      <c r="F270" s="338"/>
    </row>
    <row r="271" spans="3:6" s="337" customFormat="1" x14ac:dyDescent="0.25">
      <c r="C271" s="338"/>
      <c r="E271" s="338"/>
      <c r="F271" s="338"/>
    </row>
    <row r="272" spans="3:6" s="337" customFormat="1" x14ac:dyDescent="0.25">
      <c r="C272" s="338"/>
      <c r="E272" s="338"/>
      <c r="F272" s="338"/>
    </row>
    <row r="273" spans="3:6" s="337" customFormat="1" x14ac:dyDescent="0.25">
      <c r="C273" s="338"/>
      <c r="E273" s="338"/>
      <c r="F273" s="338"/>
    </row>
    <row r="274" spans="3:6" s="337" customFormat="1" x14ac:dyDescent="0.25">
      <c r="C274" s="338"/>
      <c r="E274" s="338"/>
      <c r="F274" s="338"/>
    </row>
    <row r="275" spans="3:6" s="337" customFormat="1" x14ac:dyDescent="0.25">
      <c r="C275" s="338"/>
      <c r="E275" s="338"/>
      <c r="F275" s="338"/>
    </row>
    <row r="276" spans="3:6" s="337" customFormat="1" x14ac:dyDescent="0.25">
      <c r="C276" s="338"/>
      <c r="E276" s="338"/>
      <c r="F276" s="338"/>
    </row>
    <row r="277" spans="3:6" s="337" customFormat="1" x14ac:dyDescent="0.25">
      <c r="C277" s="338"/>
      <c r="E277" s="338"/>
      <c r="F277" s="338"/>
    </row>
    <row r="278" spans="3:6" s="337" customFormat="1" x14ac:dyDescent="0.25">
      <c r="C278" s="338"/>
      <c r="E278" s="338"/>
      <c r="F278" s="338"/>
    </row>
    <row r="279" spans="3:6" s="337" customFormat="1" x14ac:dyDescent="0.25">
      <c r="C279" s="338"/>
      <c r="E279" s="338"/>
      <c r="F279" s="338"/>
    </row>
    <row r="280" spans="3:6" s="337" customFormat="1" x14ac:dyDescent="0.25">
      <c r="C280" s="338"/>
      <c r="E280" s="338"/>
      <c r="F280" s="338"/>
    </row>
    <row r="281" spans="3:6" s="337" customFormat="1" x14ac:dyDescent="0.25">
      <c r="C281" s="338"/>
      <c r="E281" s="338"/>
      <c r="F281" s="338"/>
    </row>
    <row r="282" spans="3:6" s="337" customFormat="1" x14ac:dyDescent="0.25">
      <c r="C282" s="338"/>
      <c r="E282" s="338"/>
      <c r="F282" s="338"/>
    </row>
    <row r="283" spans="3:6" s="337" customFormat="1" x14ac:dyDescent="0.25">
      <c r="C283" s="338"/>
      <c r="E283" s="338"/>
      <c r="F283" s="338"/>
    </row>
    <row r="284" spans="3:6" s="337" customFormat="1" x14ac:dyDescent="0.25">
      <c r="C284" s="338"/>
      <c r="E284" s="338"/>
      <c r="F284" s="338"/>
    </row>
    <row r="285" spans="3:6" s="337" customFormat="1" x14ac:dyDescent="0.25">
      <c r="C285" s="338"/>
      <c r="E285" s="338"/>
      <c r="F285" s="338"/>
    </row>
    <row r="286" spans="3:6" s="337" customFormat="1" x14ac:dyDescent="0.25">
      <c r="C286" s="338"/>
      <c r="E286" s="338"/>
      <c r="F286" s="338"/>
    </row>
    <row r="287" spans="3:6" s="337" customFormat="1" x14ac:dyDescent="0.25">
      <c r="C287" s="338"/>
      <c r="E287" s="338"/>
      <c r="F287" s="338"/>
    </row>
    <row r="288" spans="3:6" s="337" customFormat="1" x14ac:dyDescent="0.25">
      <c r="C288" s="338"/>
      <c r="E288" s="338"/>
      <c r="F288" s="338"/>
    </row>
    <row r="289" spans="1:37" x14ac:dyDescent="0.25">
      <c r="A289" s="337"/>
      <c r="B289" s="337"/>
      <c r="C289" s="338"/>
      <c r="D289" s="337"/>
      <c r="E289" s="338"/>
      <c r="F289" s="338"/>
      <c r="G289" s="337"/>
      <c r="H289" s="337"/>
      <c r="I289" s="337"/>
      <c r="J289" s="337"/>
      <c r="K289" s="337"/>
      <c r="L289" s="337"/>
      <c r="M289" s="337"/>
      <c r="N289" s="337"/>
      <c r="O289" s="337"/>
      <c r="P289" s="337"/>
      <c r="Q289" s="337"/>
      <c r="R289" s="337"/>
      <c r="S289" s="337"/>
      <c r="T289" s="337"/>
      <c r="U289" s="337"/>
      <c r="V289" s="337"/>
      <c r="W289" s="337"/>
      <c r="X289" s="337"/>
      <c r="Y289" s="337"/>
      <c r="Z289" s="337"/>
      <c r="AA289" s="337"/>
      <c r="AB289" s="337"/>
      <c r="AC289" s="337"/>
      <c r="AD289" s="337"/>
      <c r="AE289" s="337"/>
      <c r="AF289" s="337"/>
      <c r="AG289" s="337"/>
      <c r="AH289" s="337"/>
      <c r="AI289" s="337"/>
      <c r="AJ289" s="337"/>
      <c r="AK289" s="337"/>
    </row>
    <row r="290" spans="1:37" x14ac:dyDescent="0.25">
      <c r="A290" s="337"/>
      <c r="B290" s="337"/>
      <c r="C290" s="338"/>
      <c r="D290" s="337"/>
      <c r="E290" s="338"/>
      <c r="F290" s="338"/>
      <c r="G290" s="337"/>
      <c r="H290" s="337"/>
      <c r="I290" s="337"/>
      <c r="J290" s="337"/>
      <c r="K290" s="337"/>
      <c r="L290" s="337"/>
      <c r="M290" s="337"/>
      <c r="N290" s="337"/>
      <c r="O290" s="337"/>
      <c r="P290" s="337"/>
      <c r="Q290" s="337"/>
      <c r="R290" s="337"/>
      <c r="S290" s="337"/>
      <c r="T290" s="337"/>
      <c r="U290" s="337"/>
      <c r="V290" s="337"/>
      <c r="W290" s="337"/>
      <c r="X290" s="337"/>
      <c r="Y290" s="337"/>
      <c r="Z290" s="337"/>
      <c r="AA290" s="337"/>
      <c r="AB290" s="337"/>
      <c r="AC290" s="337"/>
      <c r="AD290" s="337"/>
      <c r="AE290" s="337"/>
      <c r="AF290" s="337"/>
      <c r="AG290" s="337"/>
      <c r="AH290" s="337"/>
      <c r="AI290" s="337"/>
      <c r="AJ290" s="337"/>
      <c r="AK290" s="337"/>
    </row>
    <row r="291" spans="1:37" x14ac:dyDescent="0.25">
      <c r="A291" s="337"/>
      <c r="B291" s="337"/>
      <c r="C291" s="338"/>
      <c r="D291" s="337"/>
      <c r="E291" s="338"/>
      <c r="F291" s="338"/>
      <c r="G291" s="337"/>
      <c r="H291" s="337"/>
      <c r="I291" s="337"/>
      <c r="J291" s="337"/>
      <c r="K291" s="337"/>
      <c r="L291" s="337"/>
      <c r="M291" s="337"/>
      <c r="N291" s="337"/>
      <c r="O291" s="337"/>
      <c r="P291" s="337"/>
      <c r="Q291" s="337"/>
      <c r="R291" s="337"/>
      <c r="S291" s="337"/>
      <c r="T291" s="337"/>
      <c r="U291" s="337"/>
      <c r="V291" s="337"/>
      <c r="W291" s="337"/>
      <c r="X291" s="337"/>
      <c r="Y291" s="337"/>
      <c r="Z291" s="337"/>
      <c r="AA291" s="337"/>
      <c r="AB291" s="337"/>
      <c r="AC291" s="337"/>
      <c r="AD291" s="337"/>
      <c r="AE291" s="337"/>
      <c r="AF291" s="337"/>
      <c r="AG291" s="337"/>
      <c r="AH291" s="337"/>
      <c r="AI291" s="337"/>
      <c r="AJ291" s="337"/>
      <c r="AK291" s="337"/>
    </row>
    <row r="292" spans="1:37" x14ac:dyDescent="0.25">
      <c r="A292" s="337"/>
      <c r="B292" s="337"/>
      <c r="C292" s="338"/>
      <c r="D292" s="337"/>
      <c r="E292" s="338"/>
      <c r="F292" s="338"/>
      <c r="G292" s="337"/>
      <c r="H292" s="337"/>
      <c r="I292" s="337"/>
      <c r="J292" s="337"/>
      <c r="K292" s="337"/>
      <c r="L292" s="337"/>
      <c r="M292" s="337"/>
      <c r="N292" s="337"/>
      <c r="O292" s="337"/>
      <c r="P292" s="337"/>
      <c r="Q292" s="337"/>
      <c r="R292" s="337"/>
      <c r="S292" s="337"/>
      <c r="T292" s="337"/>
      <c r="U292" s="337"/>
      <c r="V292" s="337"/>
      <c r="W292" s="337"/>
      <c r="X292" s="337"/>
      <c r="Y292" s="337"/>
      <c r="Z292" s="337"/>
      <c r="AA292" s="337"/>
      <c r="AB292" s="337"/>
      <c r="AC292" s="337"/>
      <c r="AD292" s="337"/>
      <c r="AE292" s="337"/>
      <c r="AF292" s="337"/>
      <c r="AG292" s="337"/>
      <c r="AH292" s="337"/>
      <c r="AI292" s="337"/>
      <c r="AJ292" s="337"/>
      <c r="AK292" s="337"/>
    </row>
    <row r="293" spans="1:37" x14ac:dyDescent="0.25">
      <c r="A293" s="337"/>
      <c r="B293" s="337"/>
      <c r="C293" s="338"/>
      <c r="D293" s="337"/>
      <c r="E293" s="338"/>
      <c r="F293" s="338"/>
      <c r="G293" s="337"/>
      <c r="H293" s="337"/>
      <c r="I293" s="337"/>
      <c r="J293" s="337"/>
      <c r="K293" s="337"/>
      <c r="L293" s="337"/>
      <c r="M293" s="337"/>
      <c r="N293" s="337"/>
      <c r="O293" s="337"/>
      <c r="P293" s="337"/>
      <c r="Q293" s="337"/>
      <c r="R293" s="337"/>
      <c r="S293" s="337"/>
      <c r="T293" s="337"/>
      <c r="U293" s="337"/>
      <c r="V293" s="337"/>
      <c r="W293" s="337"/>
      <c r="X293" s="337"/>
      <c r="Y293" s="337"/>
      <c r="Z293" s="337"/>
      <c r="AA293" s="337"/>
      <c r="AB293" s="337"/>
      <c r="AC293" s="337"/>
      <c r="AD293" s="337"/>
      <c r="AE293" s="337"/>
      <c r="AF293" s="337"/>
      <c r="AG293" s="337"/>
      <c r="AH293" s="337"/>
      <c r="AI293" s="337"/>
      <c r="AJ293" s="337"/>
      <c r="AK293" s="337"/>
    </row>
    <row r="294" spans="1:37" x14ac:dyDescent="0.25">
      <c r="A294" s="337"/>
      <c r="B294" s="337"/>
      <c r="C294" s="338"/>
      <c r="D294" s="337"/>
      <c r="E294" s="338"/>
      <c r="F294" s="338"/>
      <c r="G294" s="337"/>
      <c r="H294" s="337"/>
      <c r="I294" s="337"/>
      <c r="J294" s="337"/>
      <c r="K294" s="337"/>
      <c r="L294" s="337"/>
      <c r="M294" s="337"/>
      <c r="N294" s="337"/>
      <c r="O294" s="337"/>
      <c r="P294" s="337"/>
      <c r="Q294" s="337"/>
      <c r="R294" s="337"/>
      <c r="S294" s="337"/>
      <c r="T294" s="337"/>
      <c r="U294" s="337"/>
      <c r="V294" s="337"/>
      <c r="W294" s="337"/>
      <c r="X294" s="337"/>
      <c r="Y294" s="337"/>
      <c r="Z294" s="337"/>
      <c r="AA294" s="337"/>
      <c r="AB294" s="337"/>
      <c r="AC294" s="337"/>
      <c r="AD294" s="337"/>
      <c r="AE294" s="337"/>
      <c r="AF294" s="337"/>
      <c r="AG294" s="337"/>
      <c r="AH294" s="337"/>
      <c r="AI294" s="337"/>
      <c r="AJ294" s="337"/>
      <c r="AK294" s="337"/>
    </row>
    <row r="295" spans="1:37" x14ac:dyDescent="0.25">
      <c r="A295" s="337"/>
      <c r="B295" s="337"/>
      <c r="C295" s="338"/>
      <c r="D295" s="337"/>
      <c r="E295" s="338"/>
      <c r="F295" s="338"/>
      <c r="G295" s="337"/>
      <c r="H295" s="337"/>
      <c r="I295" s="337"/>
      <c r="J295" s="337"/>
      <c r="K295" s="337"/>
      <c r="L295" s="337"/>
      <c r="M295" s="337"/>
      <c r="N295" s="337"/>
      <c r="O295" s="337"/>
      <c r="P295" s="337"/>
      <c r="Q295" s="337"/>
      <c r="R295" s="337"/>
      <c r="S295" s="337"/>
      <c r="T295" s="337"/>
      <c r="U295" s="337"/>
      <c r="V295" s="337"/>
      <c r="W295" s="337"/>
      <c r="X295" s="337"/>
      <c r="Y295" s="337"/>
      <c r="Z295" s="337"/>
      <c r="AA295" s="337"/>
      <c r="AB295" s="337"/>
      <c r="AC295" s="337"/>
      <c r="AD295" s="337"/>
      <c r="AE295" s="337"/>
      <c r="AF295" s="337"/>
      <c r="AG295" s="337"/>
      <c r="AH295" s="337"/>
      <c r="AI295" s="337"/>
      <c r="AJ295" s="337"/>
      <c r="AK295" s="337"/>
    </row>
    <row r="296" spans="1:37" x14ac:dyDescent="0.25">
      <c r="A296" s="337"/>
      <c r="B296" s="337"/>
      <c r="C296" s="338"/>
      <c r="D296" s="337"/>
      <c r="E296" s="338"/>
      <c r="F296" s="338"/>
      <c r="G296" s="337"/>
      <c r="H296" s="337"/>
      <c r="I296" s="337"/>
      <c r="J296" s="337"/>
      <c r="K296" s="337"/>
      <c r="L296" s="337"/>
      <c r="M296" s="337"/>
      <c r="N296" s="337"/>
      <c r="O296" s="337"/>
      <c r="P296" s="337"/>
      <c r="Q296" s="337"/>
      <c r="R296" s="337"/>
      <c r="S296" s="337"/>
      <c r="T296" s="337"/>
      <c r="U296" s="337"/>
      <c r="V296" s="337"/>
      <c r="W296" s="337"/>
      <c r="X296" s="337"/>
      <c r="Y296" s="337"/>
      <c r="Z296" s="337"/>
      <c r="AA296" s="337"/>
      <c r="AB296" s="337"/>
      <c r="AC296" s="337"/>
      <c r="AD296" s="337"/>
      <c r="AE296" s="337"/>
      <c r="AF296" s="337"/>
      <c r="AG296" s="337"/>
      <c r="AH296" s="337"/>
      <c r="AI296" s="337"/>
      <c r="AJ296" s="337"/>
      <c r="AK296" s="337"/>
    </row>
    <row r="297" spans="1:37" x14ac:dyDescent="0.25">
      <c r="A297" s="337"/>
      <c r="B297" s="337"/>
      <c r="C297" s="338"/>
      <c r="D297" s="337"/>
      <c r="E297" s="338"/>
      <c r="F297" s="338"/>
      <c r="G297" s="337"/>
      <c r="H297" s="337"/>
      <c r="I297" s="337"/>
      <c r="J297" s="337"/>
      <c r="K297" s="337"/>
      <c r="L297" s="337"/>
      <c r="M297" s="337"/>
      <c r="N297" s="337"/>
      <c r="O297" s="337"/>
      <c r="P297" s="337"/>
      <c r="Q297" s="337"/>
      <c r="R297" s="337"/>
      <c r="S297" s="337"/>
      <c r="T297" s="337"/>
      <c r="U297" s="337"/>
      <c r="V297" s="337"/>
      <c r="W297" s="337"/>
      <c r="X297" s="337"/>
      <c r="Y297" s="337"/>
      <c r="Z297" s="337"/>
      <c r="AA297" s="337"/>
      <c r="AB297" s="337"/>
      <c r="AC297" s="337"/>
      <c r="AD297" s="337"/>
      <c r="AE297" s="337"/>
      <c r="AF297" s="337"/>
      <c r="AG297" s="337"/>
      <c r="AH297" s="337"/>
      <c r="AI297" s="337"/>
      <c r="AJ297" s="337"/>
      <c r="AK297" s="337"/>
    </row>
    <row r="298" spans="1:37" x14ac:dyDescent="0.25">
      <c r="J298" s="337"/>
      <c r="K298" s="337"/>
      <c r="L298" s="337"/>
      <c r="M298" s="337"/>
      <c r="N298" s="337"/>
      <c r="O298" s="337"/>
      <c r="P298" s="337"/>
      <c r="Q298" s="337"/>
      <c r="R298" s="337"/>
      <c r="S298" s="337"/>
      <c r="T298" s="337"/>
      <c r="U298" s="337"/>
      <c r="V298" s="337"/>
      <c r="W298" s="337"/>
      <c r="X298" s="337"/>
      <c r="Y298" s="337"/>
      <c r="Z298" s="337"/>
      <c r="AA298" s="337"/>
      <c r="AB298" s="337"/>
      <c r="AC298" s="337"/>
      <c r="AD298" s="337"/>
      <c r="AE298" s="337"/>
      <c r="AF298" s="337"/>
      <c r="AG298" s="337"/>
      <c r="AH298" s="337"/>
      <c r="AI298" s="337"/>
      <c r="AJ298" s="337"/>
      <c r="AK298" s="337"/>
    </row>
    <row r="299" spans="1:37" x14ac:dyDescent="0.25">
      <c r="J299" s="337"/>
      <c r="K299" s="337"/>
      <c r="L299" s="337"/>
      <c r="M299" s="337"/>
      <c r="N299" s="337"/>
      <c r="O299" s="337"/>
      <c r="P299" s="337"/>
      <c r="Q299" s="337"/>
      <c r="R299" s="337"/>
      <c r="S299" s="337"/>
      <c r="T299" s="337"/>
      <c r="U299" s="337"/>
      <c r="V299" s="337"/>
      <c r="W299" s="337"/>
      <c r="X299" s="337"/>
      <c r="Y299" s="337"/>
      <c r="Z299" s="337"/>
      <c r="AA299" s="337"/>
      <c r="AB299" s="337"/>
      <c r="AC299" s="337"/>
      <c r="AD299" s="337"/>
      <c r="AE299" s="337"/>
      <c r="AF299" s="337"/>
      <c r="AG299" s="337"/>
      <c r="AH299" s="337"/>
      <c r="AI299" s="337"/>
      <c r="AJ299" s="337"/>
      <c r="AK299" s="337"/>
    </row>
    <row r="300" spans="1:37" x14ac:dyDescent="0.25">
      <c r="J300" s="337"/>
      <c r="K300" s="337"/>
      <c r="L300" s="337"/>
      <c r="M300" s="337"/>
      <c r="N300" s="337"/>
      <c r="O300" s="337"/>
      <c r="P300" s="337"/>
      <c r="Q300" s="337"/>
      <c r="R300" s="337"/>
      <c r="S300" s="337"/>
      <c r="T300" s="337"/>
      <c r="U300" s="337"/>
      <c r="V300" s="337"/>
      <c r="W300" s="337"/>
      <c r="X300" s="337"/>
      <c r="Y300" s="337"/>
      <c r="Z300" s="337"/>
      <c r="AA300" s="337"/>
      <c r="AB300" s="337"/>
      <c r="AC300" s="337"/>
      <c r="AD300" s="337"/>
      <c r="AE300" s="337"/>
      <c r="AF300" s="337"/>
      <c r="AG300" s="337"/>
      <c r="AH300" s="337"/>
      <c r="AI300" s="337"/>
      <c r="AJ300" s="337"/>
      <c r="AK300" s="337"/>
    </row>
    <row r="301" spans="1:37" x14ac:dyDescent="0.25">
      <c r="J301" s="337"/>
      <c r="K301" s="337"/>
      <c r="L301" s="337"/>
      <c r="M301" s="337"/>
      <c r="N301" s="337"/>
      <c r="O301" s="337"/>
      <c r="P301" s="337"/>
      <c r="Q301" s="337"/>
      <c r="R301" s="337"/>
      <c r="S301" s="337"/>
      <c r="T301" s="337"/>
      <c r="U301" s="337"/>
      <c r="V301" s="337"/>
      <c r="W301" s="337"/>
      <c r="X301" s="337"/>
      <c r="Y301" s="337"/>
      <c r="Z301" s="337"/>
      <c r="AA301" s="337"/>
      <c r="AB301" s="337"/>
      <c r="AC301" s="337"/>
      <c r="AD301" s="337"/>
      <c r="AE301" s="337"/>
      <c r="AF301" s="337"/>
      <c r="AG301" s="337"/>
      <c r="AH301" s="337"/>
      <c r="AI301" s="337"/>
      <c r="AJ301" s="337"/>
      <c r="AK301" s="337"/>
    </row>
    <row r="302" spans="1:37" x14ac:dyDescent="0.25">
      <c r="J302" s="337"/>
      <c r="K302" s="337"/>
      <c r="L302" s="337"/>
      <c r="M302" s="337"/>
      <c r="N302" s="337"/>
      <c r="O302" s="337"/>
      <c r="P302" s="337"/>
      <c r="Q302" s="337"/>
      <c r="R302" s="337"/>
      <c r="S302" s="337"/>
      <c r="T302" s="337"/>
      <c r="U302" s="337"/>
      <c r="V302" s="337"/>
      <c r="W302" s="337"/>
      <c r="X302" s="337"/>
      <c r="Y302" s="337"/>
      <c r="Z302" s="337"/>
      <c r="AA302" s="337"/>
      <c r="AB302" s="337"/>
      <c r="AC302" s="337"/>
      <c r="AD302" s="337"/>
      <c r="AE302" s="337"/>
      <c r="AF302" s="337"/>
      <c r="AG302" s="337"/>
      <c r="AH302" s="337"/>
      <c r="AI302" s="337"/>
      <c r="AJ302" s="337"/>
      <c r="AK302" s="337"/>
    </row>
    <row r="303" spans="1:37" x14ac:dyDescent="0.25">
      <c r="J303" s="337"/>
      <c r="K303" s="337"/>
      <c r="L303" s="337"/>
      <c r="M303" s="337"/>
      <c r="N303" s="337"/>
      <c r="O303" s="337"/>
      <c r="P303" s="337"/>
      <c r="Q303" s="337"/>
      <c r="R303" s="337"/>
      <c r="S303" s="337"/>
      <c r="T303" s="337"/>
      <c r="U303" s="337"/>
      <c r="V303" s="337"/>
      <c r="W303" s="337"/>
      <c r="X303" s="337"/>
      <c r="Y303" s="337"/>
      <c r="Z303" s="337"/>
      <c r="AA303" s="337"/>
      <c r="AB303" s="337"/>
      <c r="AC303" s="337"/>
      <c r="AD303" s="337"/>
      <c r="AE303" s="337"/>
      <c r="AF303" s="337"/>
      <c r="AG303" s="337"/>
      <c r="AH303" s="337"/>
      <c r="AI303" s="337"/>
      <c r="AJ303" s="337"/>
      <c r="AK303" s="337"/>
    </row>
    <row r="304" spans="1:37" x14ac:dyDescent="0.25">
      <c r="J304" s="337"/>
      <c r="K304" s="337"/>
      <c r="L304" s="337"/>
      <c r="M304" s="337"/>
      <c r="N304" s="337"/>
      <c r="O304" s="337"/>
      <c r="P304" s="337"/>
      <c r="Q304" s="337"/>
      <c r="R304" s="337"/>
      <c r="S304" s="337"/>
      <c r="T304" s="337"/>
      <c r="U304" s="337"/>
      <c r="V304" s="337"/>
      <c r="W304" s="337"/>
      <c r="X304" s="337"/>
      <c r="Y304" s="337"/>
      <c r="Z304" s="337"/>
      <c r="AA304" s="337"/>
      <c r="AB304" s="337"/>
      <c r="AC304" s="337"/>
      <c r="AD304" s="337"/>
      <c r="AE304" s="337"/>
      <c r="AF304" s="337"/>
      <c r="AG304" s="337"/>
      <c r="AH304" s="337"/>
      <c r="AI304" s="337"/>
      <c r="AJ304" s="337"/>
      <c r="AK304" s="337"/>
    </row>
    <row r="305" spans="10:37" x14ac:dyDescent="0.25">
      <c r="J305" s="337"/>
      <c r="K305" s="337"/>
      <c r="L305" s="337"/>
      <c r="M305" s="337"/>
      <c r="N305" s="337"/>
      <c r="O305" s="337"/>
      <c r="P305" s="337"/>
      <c r="Q305" s="337"/>
      <c r="R305" s="337"/>
      <c r="S305" s="337"/>
      <c r="T305" s="337"/>
      <c r="U305" s="337"/>
      <c r="V305" s="337"/>
      <c r="W305" s="337"/>
      <c r="X305" s="337"/>
      <c r="Y305" s="337"/>
      <c r="Z305" s="337"/>
      <c r="AA305" s="337"/>
      <c r="AB305" s="337"/>
      <c r="AC305" s="337"/>
      <c r="AD305" s="337"/>
      <c r="AE305" s="337"/>
      <c r="AF305" s="337"/>
      <c r="AG305" s="337"/>
      <c r="AH305" s="337"/>
      <c r="AI305" s="337"/>
      <c r="AJ305" s="337"/>
      <c r="AK305" s="337"/>
    </row>
    <row r="306" spans="10:37" x14ac:dyDescent="0.25">
      <c r="J306" s="337"/>
      <c r="K306" s="337"/>
      <c r="L306" s="337"/>
      <c r="M306" s="337"/>
      <c r="N306" s="337"/>
      <c r="O306" s="337"/>
      <c r="P306" s="337"/>
      <c r="Q306" s="337"/>
      <c r="R306" s="337"/>
      <c r="S306" s="337"/>
      <c r="T306" s="337"/>
      <c r="U306" s="337"/>
      <c r="V306" s="337"/>
      <c r="W306" s="337"/>
      <c r="X306" s="337"/>
      <c r="Y306" s="337"/>
      <c r="Z306" s="337"/>
      <c r="AA306" s="337"/>
      <c r="AB306" s="337"/>
      <c r="AC306" s="337"/>
      <c r="AD306" s="337"/>
      <c r="AE306" s="337"/>
      <c r="AF306" s="337"/>
      <c r="AG306" s="337"/>
      <c r="AH306" s="337"/>
      <c r="AI306" s="337"/>
      <c r="AJ306" s="337"/>
      <c r="AK306" s="337"/>
    </row>
    <row r="307" spans="10:37" x14ac:dyDescent="0.25">
      <c r="J307" s="337"/>
      <c r="K307" s="337"/>
      <c r="L307" s="337"/>
      <c r="M307" s="337"/>
      <c r="N307" s="337"/>
      <c r="O307" s="337"/>
      <c r="P307" s="337"/>
      <c r="Q307" s="337"/>
      <c r="R307" s="337"/>
      <c r="S307" s="337"/>
      <c r="T307" s="337"/>
      <c r="U307" s="337"/>
      <c r="V307" s="337"/>
      <c r="W307" s="337"/>
      <c r="X307" s="337"/>
      <c r="Y307" s="337"/>
      <c r="Z307" s="337"/>
      <c r="AA307" s="337"/>
      <c r="AB307" s="337"/>
      <c r="AC307" s="337"/>
      <c r="AD307" s="337"/>
      <c r="AE307" s="337"/>
      <c r="AF307" s="337"/>
      <c r="AG307" s="337"/>
      <c r="AH307" s="337"/>
      <c r="AI307" s="337"/>
      <c r="AJ307" s="337"/>
      <c r="AK307" s="337"/>
    </row>
    <row r="308" spans="10:37" x14ac:dyDescent="0.25">
      <c r="J308" s="337"/>
      <c r="K308" s="337"/>
      <c r="L308" s="337"/>
      <c r="M308" s="337"/>
      <c r="N308" s="337"/>
      <c r="O308" s="337"/>
      <c r="P308" s="337"/>
      <c r="Q308" s="337"/>
      <c r="R308" s="337"/>
      <c r="S308" s="337"/>
      <c r="T308" s="337"/>
      <c r="U308" s="337"/>
      <c r="V308" s="337"/>
      <c r="W308" s="337"/>
      <c r="X308" s="337"/>
      <c r="Y308" s="337"/>
      <c r="Z308" s="337"/>
      <c r="AA308" s="337"/>
      <c r="AB308" s="337"/>
      <c r="AC308" s="337"/>
      <c r="AD308" s="337"/>
      <c r="AE308" s="337"/>
      <c r="AF308" s="337"/>
      <c r="AG308" s="337"/>
      <c r="AH308" s="337"/>
      <c r="AI308" s="337"/>
      <c r="AJ308" s="337"/>
      <c r="AK308" s="337"/>
    </row>
    <row r="309" spans="10:37" x14ac:dyDescent="0.25">
      <c r="J309" s="337"/>
      <c r="K309" s="337"/>
      <c r="L309" s="337"/>
      <c r="M309" s="337"/>
      <c r="N309" s="337"/>
      <c r="O309" s="337"/>
      <c r="P309" s="337"/>
      <c r="Q309" s="337"/>
      <c r="R309" s="337"/>
      <c r="S309" s="337"/>
      <c r="T309" s="337"/>
      <c r="U309" s="337"/>
      <c r="V309" s="337"/>
      <c r="W309" s="337"/>
      <c r="X309" s="337"/>
      <c r="Y309" s="337"/>
      <c r="Z309" s="337"/>
      <c r="AA309" s="337"/>
      <c r="AB309" s="337"/>
      <c r="AC309" s="337"/>
      <c r="AD309" s="337"/>
      <c r="AE309" s="337"/>
      <c r="AF309" s="337"/>
      <c r="AG309" s="337"/>
      <c r="AH309" s="337"/>
      <c r="AI309" s="337"/>
      <c r="AJ309" s="337"/>
      <c r="AK309" s="337"/>
    </row>
    <row r="310" spans="10:37" x14ac:dyDescent="0.25">
      <c r="J310" s="337"/>
      <c r="K310" s="337"/>
      <c r="L310" s="337"/>
      <c r="M310" s="337"/>
      <c r="N310" s="337"/>
      <c r="O310" s="337"/>
      <c r="P310" s="337"/>
      <c r="Q310" s="337"/>
      <c r="R310" s="337"/>
      <c r="S310" s="337"/>
      <c r="T310" s="337"/>
      <c r="U310" s="337"/>
      <c r="V310" s="337"/>
      <c r="W310" s="337"/>
      <c r="X310" s="337"/>
      <c r="Y310" s="337"/>
      <c r="Z310" s="337"/>
      <c r="AA310" s="337"/>
      <c r="AB310" s="337"/>
      <c r="AC310" s="337"/>
      <c r="AD310" s="337"/>
      <c r="AE310" s="337"/>
      <c r="AF310" s="337"/>
      <c r="AG310" s="337"/>
      <c r="AH310" s="337"/>
      <c r="AI310" s="337"/>
      <c r="AJ310" s="337"/>
      <c r="AK310" s="337"/>
    </row>
    <row r="311" spans="10:37" x14ac:dyDescent="0.25">
      <c r="J311" s="337"/>
      <c r="K311" s="337"/>
      <c r="L311" s="337"/>
      <c r="M311" s="337"/>
      <c r="N311" s="337"/>
      <c r="O311" s="337"/>
      <c r="P311" s="337"/>
      <c r="Q311" s="337"/>
      <c r="R311" s="337"/>
      <c r="S311" s="337"/>
      <c r="T311" s="337"/>
      <c r="U311" s="337"/>
      <c r="V311" s="337"/>
      <c r="W311" s="337"/>
      <c r="X311" s="337"/>
      <c r="Y311" s="337"/>
      <c r="Z311" s="337"/>
      <c r="AA311" s="337"/>
      <c r="AB311" s="337"/>
      <c r="AC311" s="337"/>
      <c r="AD311" s="337"/>
      <c r="AE311" s="337"/>
      <c r="AF311" s="337"/>
      <c r="AG311" s="337"/>
      <c r="AH311" s="337"/>
      <c r="AI311" s="337"/>
      <c r="AJ311" s="337"/>
      <c r="AK311" s="337"/>
    </row>
    <row r="312" spans="10:37" x14ac:dyDescent="0.25">
      <c r="J312" s="337"/>
      <c r="K312" s="337"/>
      <c r="L312" s="337"/>
      <c r="M312" s="337"/>
      <c r="N312" s="337"/>
      <c r="O312" s="337"/>
      <c r="P312" s="337"/>
      <c r="Q312" s="337"/>
      <c r="R312" s="337"/>
      <c r="S312" s="337"/>
      <c r="T312" s="337"/>
      <c r="U312" s="337"/>
      <c r="V312" s="337"/>
      <c r="W312" s="337"/>
      <c r="X312" s="337"/>
      <c r="Y312" s="337"/>
      <c r="Z312" s="337"/>
      <c r="AA312" s="337"/>
      <c r="AB312" s="337"/>
      <c r="AC312" s="337"/>
      <c r="AD312" s="337"/>
      <c r="AE312" s="337"/>
      <c r="AF312" s="337"/>
      <c r="AG312" s="337"/>
      <c r="AH312" s="337"/>
      <c r="AI312" s="337"/>
      <c r="AJ312" s="337"/>
      <c r="AK312" s="337"/>
    </row>
    <row r="313" spans="10:37" x14ac:dyDescent="0.25">
      <c r="J313" s="337"/>
      <c r="K313" s="337"/>
      <c r="L313" s="337"/>
      <c r="M313" s="337"/>
      <c r="N313" s="337"/>
      <c r="O313" s="337"/>
      <c r="P313" s="337"/>
      <c r="Q313" s="337"/>
      <c r="R313" s="337"/>
      <c r="S313" s="337"/>
      <c r="T313" s="337"/>
      <c r="U313" s="337"/>
      <c r="V313" s="337"/>
      <c r="W313" s="337"/>
      <c r="X313" s="337"/>
      <c r="Y313" s="337"/>
      <c r="Z313" s="337"/>
      <c r="AA313" s="337"/>
      <c r="AB313" s="337"/>
      <c r="AC313" s="337"/>
      <c r="AD313" s="337"/>
      <c r="AE313" s="337"/>
      <c r="AF313" s="337"/>
      <c r="AG313" s="337"/>
      <c r="AH313" s="337"/>
      <c r="AI313" s="337"/>
      <c r="AJ313" s="337"/>
      <c r="AK313" s="337"/>
    </row>
    <row r="314" spans="10:37" x14ac:dyDescent="0.25">
      <c r="J314" s="337"/>
      <c r="K314" s="337"/>
      <c r="L314" s="337"/>
      <c r="M314" s="337"/>
      <c r="N314" s="337"/>
      <c r="O314" s="337"/>
      <c r="P314" s="337"/>
      <c r="Q314" s="337"/>
      <c r="R314" s="337"/>
      <c r="S314" s="337"/>
      <c r="T314" s="337"/>
      <c r="U314" s="337"/>
      <c r="V314" s="337"/>
      <c r="W314" s="337"/>
      <c r="X314" s="337"/>
      <c r="Y314" s="337"/>
      <c r="Z314" s="337"/>
      <c r="AA314" s="337"/>
      <c r="AB314" s="337"/>
      <c r="AC314" s="337"/>
      <c r="AD314" s="337"/>
      <c r="AE314" s="337"/>
      <c r="AF314" s="337"/>
      <c r="AG314" s="337"/>
      <c r="AH314" s="337"/>
      <c r="AI314" s="337"/>
      <c r="AJ314" s="337"/>
      <c r="AK314" s="337"/>
    </row>
    <row r="315" spans="10:37" x14ac:dyDescent="0.25">
      <c r="J315" s="337"/>
      <c r="K315" s="337"/>
      <c r="L315" s="337"/>
      <c r="M315" s="337"/>
      <c r="N315" s="337"/>
      <c r="O315" s="337"/>
      <c r="P315" s="337"/>
      <c r="Q315" s="337"/>
      <c r="R315" s="337"/>
      <c r="S315" s="337"/>
      <c r="T315" s="337"/>
      <c r="U315" s="337"/>
      <c r="V315" s="337"/>
      <c r="W315" s="337"/>
      <c r="X315" s="337"/>
      <c r="Y315" s="337"/>
      <c r="Z315" s="337"/>
      <c r="AA315" s="337"/>
      <c r="AB315" s="337"/>
      <c r="AC315" s="337"/>
      <c r="AD315" s="337"/>
      <c r="AE315" s="337"/>
      <c r="AF315" s="337"/>
      <c r="AG315" s="337"/>
      <c r="AH315" s="337"/>
      <c r="AI315" s="337"/>
      <c r="AJ315" s="337"/>
      <c r="AK315" s="337"/>
    </row>
    <row r="316" spans="10:37" x14ac:dyDescent="0.25">
      <c r="J316" s="337"/>
      <c r="K316" s="337"/>
      <c r="L316" s="337"/>
      <c r="M316" s="337"/>
      <c r="N316" s="337"/>
      <c r="O316" s="337"/>
      <c r="P316" s="337"/>
      <c r="Q316" s="337"/>
      <c r="R316" s="337"/>
      <c r="S316" s="337"/>
      <c r="T316" s="337"/>
      <c r="U316" s="337"/>
      <c r="V316" s="337"/>
      <c r="W316" s="337"/>
      <c r="X316" s="337"/>
      <c r="Y316" s="337"/>
      <c r="Z316" s="337"/>
      <c r="AA316" s="337"/>
      <c r="AB316" s="337"/>
      <c r="AC316" s="337"/>
      <c r="AD316" s="337"/>
      <c r="AE316" s="337"/>
      <c r="AF316" s="337"/>
      <c r="AG316" s="337"/>
      <c r="AH316" s="337"/>
      <c r="AI316" s="337"/>
      <c r="AJ316" s="337"/>
      <c r="AK316" s="337"/>
    </row>
    <row r="317" spans="10:37" x14ac:dyDescent="0.25">
      <c r="J317" s="337"/>
      <c r="K317" s="337"/>
      <c r="L317" s="337"/>
      <c r="M317" s="337"/>
      <c r="N317" s="337"/>
      <c r="O317" s="337"/>
      <c r="P317" s="337"/>
      <c r="Q317" s="337"/>
      <c r="R317" s="337"/>
      <c r="S317" s="337"/>
      <c r="T317" s="337"/>
      <c r="U317" s="337"/>
      <c r="V317" s="337"/>
      <c r="W317" s="337"/>
      <c r="X317" s="337"/>
      <c r="Y317" s="337"/>
      <c r="Z317" s="337"/>
      <c r="AA317" s="337"/>
      <c r="AB317" s="337"/>
      <c r="AC317" s="337"/>
      <c r="AD317" s="337"/>
      <c r="AE317" s="337"/>
      <c r="AF317" s="337"/>
      <c r="AG317" s="337"/>
      <c r="AH317" s="337"/>
      <c r="AI317" s="337"/>
      <c r="AJ317" s="337"/>
      <c r="AK317" s="337"/>
    </row>
    <row r="318" spans="10:37" x14ac:dyDescent="0.25">
      <c r="J318" s="337"/>
      <c r="K318" s="337"/>
      <c r="L318" s="337"/>
      <c r="M318" s="337"/>
      <c r="N318" s="337"/>
      <c r="O318" s="337"/>
      <c r="P318" s="337"/>
      <c r="Q318" s="337"/>
      <c r="R318" s="337"/>
      <c r="S318" s="337"/>
      <c r="T318" s="337"/>
      <c r="U318" s="337"/>
      <c r="V318" s="337"/>
      <c r="W318" s="337"/>
      <c r="X318" s="337"/>
      <c r="Y318" s="337"/>
      <c r="Z318" s="337"/>
      <c r="AA318" s="337"/>
      <c r="AB318" s="337"/>
      <c r="AC318" s="337"/>
      <c r="AD318" s="337"/>
      <c r="AE318" s="337"/>
      <c r="AF318" s="337"/>
      <c r="AG318" s="337"/>
      <c r="AH318" s="337"/>
      <c r="AI318" s="337"/>
      <c r="AJ318" s="337"/>
      <c r="AK318" s="337"/>
    </row>
    <row r="319" spans="10:37" x14ac:dyDescent="0.25">
      <c r="J319" s="337"/>
      <c r="K319" s="337"/>
      <c r="L319" s="337"/>
      <c r="M319" s="337"/>
      <c r="N319" s="337"/>
      <c r="O319" s="337"/>
      <c r="P319" s="337"/>
      <c r="Q319" s="337"/>
      <c r="R319" s="337"/>
      <c r="S319" s="337"/>
      <c r="T319" s="337"/>
      <c r="U319" s="337"/>
      <c r="V319" s="337"/>
      <c r="W319" s="337"/>
      <c r="X319" s="337"/>
      <c r="Y319" s="337"/>
      <c r="Z319" s="337"/>
      <c r="AA319" s="337"/>
      <c r="AB319" s="337"/>
      <c r="AC319" s="337"/>
      <c r="AD319" s="337"/>
      <c r="AE319" s="337"/>
      <c r="AF319" s="337"/>
      <c r="AG319" s="337"/>
      <c r="AH319" s="337"/>
      <c r="AI319" s="337"/>
      <c r="AJ319" s="337"/>
      <c r="AK319" s="337"/>
    </row>
    <row r="320" spans="10:37" x14ac:dyDescent="0.25">
      <c r="J320" s="337"/>
      <c r="K320" s="337"/>
      <c r="L320" s="337"/>
      <c r="M320" s="337"/>
      <c r="N320" s="337"/>
      <c r="O320" s="337"/>
      <c r="P320" s="337"/>
      <c r="Q320" s="337"/>
      <c r="R320" s="337"/>
      <c r="S320" s="337"/>
      <c r="T320" s="337"/>
      <c r="U320" s="337"/>
      <c r="V320" s="337"/>
      <c r="W320" s="337"/>
      <c r="X320" s="337"/>
      <c r="Y320" s="337"/>
      <c r="Z320" s="337"/>
      <c r="AA320" s="337"/>
      <c r="AB320" s="337"/>
      <c r="AC320" s="337"/>
      <c r="AD320" s="337"/>
      <c r="AE320" s="337"/>
      <c r="AF320" s="337"/>
      <c r="AG320" s="337"/>
      <c r="AH320" s="337"/>
      <c r="AI320" s="337"/>
      <c r="AJ320" s="337"/>
      <c r="AK320" s="337"/>
    </row>
    <row r="321" spans="10:37" x14ac:dyDescent="0.25">
      <c r="J321" s="337"/>
      <c r="K321" s="337"/>
      <c r="L321" s="337"/>
      <c r="M321" s="337"/>
      <c r="N321" s="337"/>
      <c r="O321" s="337"/>
      <c r="P321" s="337"/>
      <c r="Q321" s="337"/>
      <c r="R321" s="337"/>
      <c r="S321" s="337"/>
      <c r="T321" s="337"/>
      <c r="U321" s="337"/>
      <c r="V321" s="337"/>
      <c r="W321" s="337"/>
      <c r="X321" s="337"/>
      <c r="Y321" s="337"/>
      <c r="Z321" s="337"/>
      <c r="AA321" s="337"/>
      <c r="AB321" s="337"/>
      <c r="AC321" s="337"/>
      <c r="AD321" s="337"/>
      <c r="AE321" s="337"/>
      <c r="AF321" s="337"/>
      <c r="AG321" s="337"/>
      <c r="AH321" s="337"/>
      <c r="AI321" s="337"/>
      <c r="AJ321" s="337"/>
      <c r="AK321" s="337"/>
    </row>
    <row r="322" spans="10:37" x14ac:dyDescent="0.25">
      <c r="J322" s="337"/>
      <c r="K322" s="337"/>
      <c r="L322" s="337"/>
      <c r="M322" s="337"/>
      <c r="N322" s="337"/>
      <c r="O322" s="337"/>
      <c r="P322" s="337"/>
      <c r="Q322" s="337"/>
      <c r="R322" s="337"/>
      <c r="S322" s="337"/>
      <c r="T322" s="337"/>
      <c r="U322" s="337"/>
      <c r="V322" s="337"/>
      <c r="W322" s="337"/>
      <c r="X322" s="337"/>
      <c r="Y322" s="337"/>
      <c r="Z322" s="337"/>
      <c r="AA322" s="337"/>
      <c r="AB322" s="337"/>
      <c r="AC322" s="337"/>
      <c r="AD322" s="337"/>
      <c r="AE322" s="337"/>
      <c r="AF322" s="337"/>
      <c r="AG322" s="337"/>
      <c r="AH322" s="337"/>
      <c r="AI322" s="337"/>
      <c r="AJ322" s="337"/>
      <c r="AK322" s="337"/>
    </row>
    <row r="323" spans="10:37" x14ac:dyDescent="0.25">
      <c r="J323" s="337"/>
      <c r="K323" s="337"/>
      <c r="L323" s="337"/>
      <c r="M323" s="337"/>
      <c r="N323" s="337"/>
      <c r="O323" s="337"/>
      <c r="P323" s="337"/>
      <c r="Q323" s="337"/>
      <c r="R323" s="337"/>
      <c r="S323" s="337"/>
      <c r="T323" s="337"/>
      <c r="U323" s="337"/>
      <c r="V323" s="337"/>
      <c r="W323" s="337"/>
      <c r="X323" s="337"/>
      <c r="Y323" s="337"/>
      <c r="Z323" s="337"/>
      <c r="AA323" s="337"/>
      <c r="AB323" s="337"/>
      <c r="AC323" s="337"/>
      <c r="AD323" s="337"/>
      <c r="AE323" s="337"/>
      <c r="AF323" s="337"/>
      <c r="AG323" s="337"/>
      <c r="AH323" s="337"/>
      <c r="AI323" s="337"/>
      <c r="AJ323" s="337"/>
      <c r="AK323" s="337"/>
    </row>
    <row r="324" spans="10:37" x14ac:dyDescent="0.25">
      <c r="J324" s="337"/>
      <c r="K324" s="337"/>
      <c r="L324" s="337"/>
      <c r="M324" s="337"/>
      <c r="N324" s="337"/>
      <c r="O324" s="337"/>
      <c r="P324" s="337"/>
      <c r="Q324" s="337"/>
      <c r="R324" s="337"/>
      <c r="S324" s="337"/>
      <c r="T324" s="337"/>
      <c r="U324" s="337"/>
      <c r="V324" s="337"/>
      <c r="W324" s="337"/>
      <c r="X324" s="337"/>
      <c r="Y324" s="337"/>
      <c r="Z324" s="337"/>
      <c r="AA324" s="337"/>
      <c r="AB324" s="337"/>
      <c r="AC324" s="337"/>
      <c r="AD324" s="337"/>
      <c r="AE324" s="337"/>
      <c r="AF324" s="337"/>
      <c r="AG324" s="337"/>
      <c r="AH324" s="337"/>
      <c r="AI324" s="337"/>
      <c r="AJ324" s="337"/>
      <c r="AK324" s="337"/>
    </row>
    <row r="325" spans="10:37" x14ac:dyDescent="0.25">
      <c r="J325" s="337"/>
      <c r="K325" s="337"/>
      <c r="L325" s="337"/>
      <c r="M325" s="337"/>
      <c r="N325" s="337"/>
      <c r="O325" s="337"/>
      <c r="P325" s="337"/>
      <c r="Q325" s="337"/>
      <c r="R325" s="337"/>
      <c r="S325" s="337"/>
      <c r="T325" s="337"/>
      <c r="U325" s="337"/>
      <c r="V325" s="337"/>
      <c r="W325" s="337"/>
      <c r="X325" s="337"/>
      <c r="Y325" s="337"/>
      <c r="Z325" s="337"/>
      <c r="AA325" s="337"/>
      <c r="AB325" s="337"/>
      <c r="AC325" s="337"/>
      <c r="AD325" s="337"/>
      <c r="AE325" s="337"/>
      <c r="AF325" s="337"/>
      <c r="AG325" s="337"/>
      <c r="AH325" s="337"/>
      <c r="AI325" s="337"/>
      <c r="AJ325" s="337"/>
      <c r="AK325" s="337"/>
    </row>
    <row r="326" spans="10:37" x14ac:dyDescent="0.25">
      <c r="J326" s="337"/>
      <c r="K326" s="337"/>
      <c r="L326" s="337"/>
      <c r="M326" s="337"/>
      <c r="N326" s="337"/>
      <c r="O326" s="337"/>
      <c r="P326" s="337"/>
      <c r="Q326" s="337"/>
      <c r="R326" s="337"/>
      <c r="S326" s="337"/>
      <c r="T326" s="337"/>
      <c r="U326" s="337"/>
      <c r="V326" s="337"/>
      <c r="W326" s="337"/>
      <c r="X326" s="337"/>
      <c r="Y326" s="337"/>
      <c r="Z326" s="337"/>
      <c r="AA326" s="337"/>
      <c r="AB326" s="337"/>
      <c r="AC326" s="337"/>
      <c r="AD326" s="337"/>
      <c r="AE326" s="337"/>
      <c r="AF326" s="337"/>
      <c r="AG326" s="337"/>
      <c r="AH326" s="337"/>
      <c r="AI326" s="337"/>
      <c r="AJ326" s="337"/>
      <c r="AK326" s="337"/>
    </row>
    <row r="327" spans="10:37" x14ac:dyDescent="0.25">
      <c r="J327" s="337"/>
      <c r="K327" s="337"/>
      <c r="L327" s="337"/>
      <c r="M327" s="337"/>
      <c r="N327" s="337"/>
      <c r="O327" s="337"/>
      <c r="P327" s="337"/>
      <c r="Q327" s="337"/>
      <c r="R327" s="337"/>
      <c r="S327" s="337"/>
      <c r="T327" s="337"/>
      <c r="U327" s="337"/>
      <c r="V327" s="337"/>
      <c r="W327" s="337"/>
      <c r="X327" s="337"/>
      <c r="Y327" s="337"/>
      <c r="Z327" s="337"/>
      <c r="AA327" s="337"/>
      <c r="AB327" s="337"/>
      <c r="AC327" s="337"/>
      <c r="AD327" s="337"/>
      <c r="AE327" s="337"/>
      <c r="AF327" s="337"/>
      <c r="AG327" s="337"/>
      <c r="AH327" s="337"/>
      <c r="AI327" s="337"/>
      <c r="AJ327" s="337"/>
      <c r="AK327" s="337"/>
    </row>
    <row r="328" spans="10:37" x14ac:dyDescent="0.25">
      <c r="J328" s="337"/>
      <c r="K328" s="337"/>
      <c r="L328" s="337"/>
      <c r="M328" s="337"/>
      <c r="N328" s="337"/>
      <c r="O328" s="337"/>
      <c r="P328" s="337"/>
      <c r="Q328" s="337"/>
      <c r="R328" s="337"/>
      <c r="S328" s="337"/>
      <c r="T328" s="337"/>
      <c r="U328" s="337"/>
      <c r="V328" s="337"/>
      <c r="W328" s="337"/>
      <c r="X328" s="337"/>
      <c r="Y328" s="337"/>
      <c r="Z328" s="337"/>
      <c r="AA328" s="337"/>
      <c r="AB328" s="337"/>
      <c r="AC328" s="337"/>
      <c r="AD328" s="337"/>
      <c r="AE328" s="337"/>
      <c r="AF328" s="337"/>
      <c r="AG328" s="337"/>
      <c r="AH328" s="337"/>
      <c r="AI328" s="337"/>
      <c r="AJ328" s="337"/>
      <c r="AK328" s="337"/>
    </row>
    <row r="329" spans="10:37" x14ac:dyDescent="0.25">
      <c r="J329" s="337"/>
      <c r="K329" s="337"/>
      <c r="L329" s="337"/>
      <c r="M329" s="337"/>
      <c r="N329" s="337"/>
      <c r="O329" s="337"/>
      <c r="P329" s="337"/>
      <c r="Q329" s="337"/>
      <c r="R329" s="337"/>
      <c r="S329" s="337"/>
      <c r="T329" s="337"/>
      <c r="U329" s="337"/>
      <c r="V329" s="337"/>
      <c r="W329" s="337"/>
      <c r="X329" s="337"/>
      <c r="Y329" s="337"/>
      <c r="Z329" s="337"/>
      <c r="AA329" s="337"/>
      <c r="AB329" s="337"/>
      <c r="AC329" s="337"/>
      <c r="AD329" s="337"/>
      <c r="AE329" s="337"/>
      <c r="AF329" s="337"/>
      <c r="AG329" s="337"/>
      <c r="AH329" s="337"/>
      <c r="AI329" s="337"/>
      <c r="AJ329" s="337"/>
      <c r="AK329" s="337"/>
    </row>
    <row r="330" spans="10:37" x14ac:dyDescent="0.25">
      <c r="J330" s="337"/>
      <c r="K330" s="337"/>
      <c r="L330" s="337"/>
      <c r="M330" s="337"/>
      <c r="N330" s="337"/>
      <c r="O330" s="337"/>
      <c r="P330" s="337"/>
      <c r="Q330" s="337"/>
      <c r="R330" s="337"/>
      <c r="S330" s="337"/>
      <c r="T330" s="337"/>
      <c r="U330" s="337"/>
      <c r="V330" s="337"/>
      <c r="W330" s="337"/>
      <c r="X330" s="337"/>
      <c r="Y330" s="337"/>
      <c r="Z330" s="337"/>
      <c r="AA330" s="337"/>
      <c r="AB330" s="337"/>
      <c r="AC330" s="337"/>
      <c r="AD330" s="337"/>
      <c r="AE330" s="337"/>
      <c r="AF330" s="337"/>
      <c r="AG330" s="337"/>
      <c r="AH330" s="337"/>
      <c r="AI330" s="337"/>
      <c r="AJ330" s="337"/>
      <c r="AK330" s="337"/>
    </row>
    <row r="331" spans="10:37" x14ac:dyDescent="0.25">
      <c r="J331" s="337"/>
      <c r="K331" s="337"/>
      <c r="L331" s="337"/>
      <c r="M331" s="337"/>
      <c r="N331" s="337"/>
      <c r="O331" s="337"/>
      <c r="P331" s="337"/>
      <c r="Q331" s="337"/>
      <c r="R331" s="337"/>
      <c r="S331" s="337"/>
      <c r="T331" s="337"/>
      <c r="U331" s="337"/>
      <c r="V331" s="337"/>
      <c r="W331" s="337"/>
      <c r="X331" s="337"/>
      <c r="Y331" s="337"/>
      <c r="Z331" s="337"/>
      <c r="AA331" s="337"/>
      <c r="AB331" s="337"/>
      <c r="AC331" s="337"/>
      <c r="AD331" s="337"/>
      <c r="AE331" s="337"/>
      <c r="AF331" s="337"/>
      <c r="AG331" s="337"/>
      <c r="AH331" s="337"/>
      <c r="AI331" s="337"/>
      <c r="AJ331" s="337"/>
      <c r="AK331" s="337"/>
    </row>
    <row r="332" spans="10:37" x14ac:dyDescent="0.25">
      <c r="J332" s="337"/>
      <c r="K332" s="337"/>
      <c r="L332" s="337"/>
      <c r="M332" s="337"/>
      <c r="N332" s="337"/>
      <c r="O332" s="337"/>
      <c r="P332" s="337"/>
      <c r="Q332" s="337"/>
      <c r="R332" s="337"/>
      <c r="S332" s="337"/>
      <c r="T332" s="337"/>
      <c r="U332" s="337"/>
      <c r="V332" s="337"/>
      <c r="W332" s="337"/>
      <c r="X332" s="337"/>
      <c r="Y332" s="337"/>
      <c r="Z332" s="337"/>
      <c r="AA332" s="337"/>
      <c r="AB332" s="337"/>
      <c r="AC332" s="337"/>
      <c r="AD332" s="337"/>
      <c r="AE332" s="337"/>
      <c r="AF332" s="337"/>
      <c r="AG332" s="337"/>
      <c r="AH332" s="337"/>
      <c r="AI332" s="337"/>
      <c r="AJ332" s="337"/>
      <c r="AK332" s="337"/>
    </row>
    <row r="333" spans="10:37" x14ac:dyDescent="0.25">
      <c r="J333" s="337"/>
      <c r="K333" s="337"/>
      <c r="L333" s="337"/>
      <c r="M333" s="337"/>
      <c r="N333" s="337"/>
      <c r="O333" s="337"/>
      <c r="P333" s="337"/>
      <c r="Q333" s="337"/>
      <c r="R333" s="337"/>
      <c r="S333" s="337"/>
      <c r="T333" s="337"/>
      <c r="U333" s="337"/>
      <c r="V333" s="337"/>
      <c r="W333" s="337"/>
      <c r="X333" s="337"/>
      <c r="Y333" s="337"/>
      <c r="Z333" s="337"/>
      <c r="AA333" s="337"/>
      <c r="AB333" s="337"/>
      <c r="AC333" s="337"/>
      <c r="AD333" s="337"/>
      <c r="AE333" s="337"/>
      <c r="AF333" s="337"/>
      <c r="AG333" s="337"/>
      <c r="AH333" s="337"/>
      <c r="AI333" s="337"/>
      <c r="AJ333" s="337"/>
      <c r="AK333" s="337"/>
    </row>
    <row r="334" spans="10:37" x14ac:dyDescent="0.25">
      <c r="J334" s="337"/>
      <c r="K334" s="337"/>
      <c r="L334" s="337"/>
      <c r="M334" s="337"/>
      <c r="N334" s="337"/>
      <c r="O334" s="337"/>
      <c r="P334" s="337"/>
      <c r="Q334" s="337"/>
      <c r="R334" s="337"/>
      <c r="S334" s="337"/>
      <c r="T334" s="337"/>
      <c r="U334" s="337"/>
      <c r="V334" s="337"/>
      <c r="W334" s="337"/>
      <c r="X334" s="337"/>
      <c r="Y334" s="337"/>
      <c r="Z334" s="337"/>
      <c r="AA334" s="337"/>
      <c r="AB334" s="337"/>
      <c r="AC334" s="337"/>
      <c r="AD334" s="337"/>
      <c r="AE334" s="337"/>
      <c r="AF334" s="337"/>
      <c r="AG334" s="337"/>
      <c r="AH334" s="337"/>
      <c r="AI334" s="337"/>
      <c r="AJ334" s="337"/>
      <c r="AK334" s="337"/>
    </row>
    <row r="335" spans="10:37" x14ac:dyDescent="0.25">
      <c r="J335" s="337"/>
      <c r="K335" s="337"/>
      <c r="L335" s="337"/>
      <c r="M335" s="337"/>
      <c r="N335" s="337"/>
      <c r="O335" s="337"/>
      <c r="P335" s="337"/>
      <c r="Q335" s="337"/>
      <c r="R335" s="337"/>
      <c r="S335" s="337"/>
      <c r="T335" s="337"/>
      <c r="U335" s="337"/>
      <c r="V335" s="337"/>
      <c r="W335" s="337"/>
      <c r="X335" s="337"/>
      <c r="Y335" s="337"/>
      <c r="Z335" s="337"/>
      <c r="AA335" s="337"/>
      <c r="AB335" s="337"/>
      <c r="AC335" s="337"/>
      <c r="AD335" s="337"/>
      <c r="AE335" s="337"/>
      <c r="AF335" s="337"/>
      <c r="AG335" s="337"/>
      <c r="AH335" s="337"/>
      <c r="AI335" s="337"/>
      <c r="AJ335" s="337"/>
      <c r="AK335" s="337"/>
    </row>
    <row r="336" spans="10:37" x14ac:dyDescent="0.25">
      <c r="J336" s="337"/>
      <c r="K336" s="337"/>
      <c r="L336" s="337"/>
      <c r="M336" s="337"/>
      <c r="N336" s="337"/>
      <c r="O336" s="337"/>
      <c r="P336" s="337"/>
      <c r="Q336" s="337"/>
      <c r="R336" s="337"/>
      <c r="S336" s="337"/>
      <c r="T336" s="337"/>
      <c r="U336" s="337"/>
      <c r="V336" s="337"/>
      <c r="W336" s="337"/>
      <c r="X336" s="337"/>
      <c r="Y336" s="337"/>
      <c r="Z336" s="337"/>
      <c r="AA336" s="337"/>
      <c r="AB336" s="337"/>
      <c r="AC336" s="337"/>
      <c r="AD336" s="337"/>
      <c r="AE336" s="337"/>
      <c r="AF336" s="337"/>
      <c r="AG336" s="337"/>
      <c r="AH336" s="337"/>
      <c r="AI336" s="337"/>
      <c r="AJ336" s="337"/>
      <c r="AK336" s="337"/>
    </row>
    <row r="337" spans="10:37" x14ac:dyDescent="0.25">
      <c r="J337" s="337"/>
      <c r="K337" s="337"/>
      <c r="L337" s="337"/>
      <c r="M337" s="337"/>
      <c r="N337" s="337"/>
      <c r="O337" s="337"/>
      <c r="P337" s="337"/>
      <c r="Q337" s="337"/>
      <c r="R337" s="337"/>
      <c r="S337" s="337"/>
      <c r="T337" s="337"/>
      <c r="U337" s="337"/>
      <c r="V337" s="337"/>
      <c r="W337" s="337"/>
      <c r="X337" s="337"/>
      <c r="Y337" s="337"/>
      <c r="Z337" s="337"/>
      <c r="AA337" s="337"/>
      <c r="AB337" s="337"/>
      <c r="AC337" s="337"/>
      <c r="AD337" s="337"/>
      <c r="AE337" s="337"/>
      <c r="AF337" s="337"/>
      <c r="AG337" s="337"/>
      <c r="AH337" s="337"/>
      <c r="AI337" s="337"/>
      <c r="AJ337" s="337"/>
      <c r="AK337" s="337"/>
    </row>
    <row r="338" spans="10:37" x14ac:dyDescent="0.25">
      <c r="J338" s="337"/>
      <c r="K338" s="337"/>
      <c r="L338" s="337"/>
      <c r="M338" s="337"/>
      <c r="N338" s="337"/>
      <c r="O338" s="337"/>
      <c r="P338" s="337"/>
      <c r="Q338" s="337"/>
      <c r="R338" s="337"/>
      <c r="S338" s="337"/>
      <c r="T338" s="337"/>
      <c r="U338" s="337"/>
      <c r="V338" s="337"/>
      <c r="W338" s="337"/>
      <c r="X338" s="337"/>
      <c r="Y338" s="337"/>
      <c r="Z338" s="337"/>
      <c r="AA338" s="337"/>
      <c r="AB338" s="337"/>
      <c r="AC338" s="337"/>
      <c r="AD338" s="337"/>
      <c r="AE338" s="337"/>
      <c r="AF338" s="337"/>
      <c r="AG338" s="337"/>
      <c r="AH338" s="337"/>
      <c r="AI338" s="337"/>
      <c r="AJ338" s="337"/>
      <c r="AK338" s="337"/>
    </row>
    <row r="339" spans="10:37" x14ac:dyDescent="0.25">
      <c r="J339" s="337"/>
      <c r="K339" s="337"/>
      <c r="L339" s="337"/>
      <c r="M339" s="337"/>
      <c r="N339" s="337"/>
      <c r="O339" s="337"/>
      <c r="P339" s="337"/>
      <c r="Q339" s="337"/>
      <c r="R339" s="337"/>
      <c r="S339" s="337"/>
      <c r="T339" s="337"/>
      <c r="U339" s="337"/>
      <c r="V339" s="337"/>
      <c r="W339" s="337"/>
      <c r="X339" s="337"/>
      <c r="Y339" s="337"/>
      <c r="Z339" s="337"/>
      <c r="AA339" s="337"/>
      <c r="AB339" s="337"/>
      <c r="AC339" s="337"/>
      <c r="AD339" s="337"/>
      <c r="AE339" s="337"/>
      <c r="AF339" s="337"/>
      <c r="AG339" s="337"/>
      <c r="AH339" s="337"/>
      <c r="AI339" s="337"/>
      <c r="AJ339" s="337"/>
      <c r="AK339" s="337"/>
    </row>
    <row r="340" spans="10:37" x14ac:dyDescent="0.25">
      <c r="J340" s="337"/>
      <c r="K340" s="337"/>
      <c r="L340" s="337"/>
      <c r="M340" s="337"/>
      <c r="N340" s="337"/>
      <c r="O340" s="337"/>
      <c r="P340" s="337"/>
      <c r="Q340" s="337"/>
      <c r="R340" s="337"/>
      <c r="S340" s="337"/>
      <c r="T340" s="337"/>
      <c r="U340" s="337"/>
      <c r="V340" s="337"/>
      <c r="W340" s="337"/>
      <c r="X340" s="337"/>
      <c r="Y340" s="337"/>
      <c r="Z340" s="337"/>
      <c r="AA340" s="337"/>
      <c r="AB340" s="337"/>
      <c r="AC340" s="337"/>
      <c r="AD340" s="337"/>
      <c r="AE340" s="337"/>
      <c r="AF340" s="337"/>
      <c r="AG340" s="337"/>
      <c r="AH340" s="337"/>
      <c r="AI340" s="337"/>
      <c r="AJ340" s="337"/>
      <c r="AK340" s="337"/>
    </row>
    <row r="341" spans="10:37" x14ac:dyDescent="0.25">
      <c r="J341" s="337"/>
      <c r="K341" s="337"/>
      <c r="L341" s="337"/>
      <c r="M341" s="337"/>
      <c r="N341" s="337"/>
      <c r="O341" s="337"/>
      <c r="P341" s="337"/>
      <c r="Q341" s="337"/>
      <c r="R341" s="337"/>
      <c r="S341" s="337"/>
      <c r="T341" s="337"/>
      <c r="U341" s="337"/>
      <c r="V341" s="337"/>
      <c r="W341" s="337"/>
      <c r="X341" s="337"/>
      <c r="Y341" s="337"/>
      <c r="Z341" s="337"/>
      <c r="AA341" s="337"/>
      <c r="AB341" s="337"/>
      <c r="AC341" s="337"/>
      <c r="AD341" s="337"/>
      <c r="AE341" s="337"/>
      <c r="AF341" s="337"/>
      <c r="AG341" s="337"/>
      <c r="AH341" s="337"/>
      <c r="AI341" s="337"/>
      <c r="AJ341" s="337"/>
      <c r="AK341" s="337"/>
    </row>
    <row r="342" spans="10:37" x14ac:dyDescent="0.25">
      <c r="J342" s="337"/>
      <c r="K342" s="337"/>
      <c r="L342" s="337"/>
      <c r="M342" s="337"/>
      <c r="N342" s="337"/>
      <c r="O342" s="337"/>
      <c r="P342" s="337"/>
      <c r="Q342" s="337"/>
      <c r="R342" s="337"/>
      <c r="S342" s="337"/>
      <c r="T342" s="337"/>
      <c r="U342" s="337"/>
      <c r="V342" s="337"/>
      <c r="W342" s="337"/>
      <c r="X342" s="337"/>
      <c r="Y342" s="337"/>
      <c r="Z342" s="337"/>
      <c r="AA342" s="337"/>
      <c r="AB342" s="337"/>
      <c r="AC342" s="337"/>
      <c r="AD342" s="337"/>
      <c r="AE342" s="337"/>
      <c r="AF342" s="337"/>
      <c r="AG342" s="337"/>
      <c r="AH342" s="337"/>
      <c r="AI342" s="337"/>
      <c r="AJ342" s="337"/>
      <c r="AK342" s="337"/>
    </row>
    <row r="343" spans="10:37" x14ac:dyDescent="0.25">
      <c r="J343" s="337"/>
      <c r="K343" s="337"/>
      <c r="L343" s="337"/>
      <c r="M343" s="337"/>
      <c r="N343" s="337"/>
      <c r="O343" s="337"/>
      <c r="P343" s="337"/>
      <c r="Q343" s="337"/>
      <c r="R343" s="337"/>
      <c r="S343" s="337"/>
      <c r="T343" s="337"/>
      <c r="U343" s="337"/>
      <c r="V343" s="337"/>
      <c r="W343" s="337"/>
      <c r="X343" s="337"/>
      <c r="Y343" s="337"/>
      <c r="Z343" s="337"/>
      <c r="AA343" s="337"/>
      <c r="AB343" s="337"/>
      <c r="AC343" s="337"/>
      <c r="AD343" s="337"/>
      <c r="AE343" s="337"/>
      <c r="AF343" s="337"/>
      <c r="AG343" s="337"/>
      <c r="AH343" s="337"/>
      <c r="AI343" s="337"/>
      <c r="AJ343" s="337"/>
      <c r="AK343" s="337"/>
    </row>
    <row r="344" spans="10:37" x14ac:dyDescent="0.25">
      <c r="J344" s="337"/>
      <c r="K344" s="337"/>
      <c r="L344" s="337"/>
      <c r="M344" s="337"/>
      <c r="N344" s="337"/>
      <c r="O344" s="337"/>
      <c r="P344" s="337"/>
      <c r="Q344" s="337"/>
      <c r="R344" s="337"/>
      <c r="S344" s="337"/>
      <c r="T344" s="337"/>
      <c r="U344" s="337"/>
      <c r="V344" s="337"/>
      <c r="W344" s="337"/>
      <c r="X344" s="337"/>
      <c r="Y344" s="337"/>
      <c r="Z344" s="337"/>
      <c r="AA344" s="337"/>
      <c r="AB344" s="337"/>
      <c r="AC344" s="337"/>
      <c r="AD344" s="337"/>
      <c r="AE344" s="337"/>
      <c r="AF344" s="337"/>
      <c r="AG344" s="337"/>
      <c r="AH344" s="337"/>
      <c r="AI344" s="337"/>
      <c r="AJ344" s="337"/>
      <c r="AK344" s="337"/>
    </row>
    <row r="345" spans="10:37" x14ac:dyDescent="0.25">
      <c r="J345" s="337"/>
      <c r="K345" s="337"/>
      <c r="L345" s="337"/>
      <c r="M345" s="337"/>
      <c r="N345" s="337"/>
      <c r="O345" s="337"/>
      <c r="P345" s="337"/>
      <c r="Q345" s="337"/>
      <c r="R345" s="337"/>
      <c r="S345" s="337"/>
      <c r="T345" s="337"/>
      <c r="U345" s="337"/>
      <c r="V345" s="337"/>
      <c r="W345" s="337"/>
      <c r="X345" s="337"/>
      <c r="Y345" s="337"/>
      <c r="Z345" s="337"/>
      <c r="AA345" s="337"/>
      <c r="AB345" s="337"/>
      <c r="AC345" s="337"/>
      <c r="AD345" s="337"/>
      <c r="AE345" s="337"/>
      <c r="AF345" s="337"/>
      <c r="AG345" s="337"/>
      <c r="AH345" s="337"/>
      <c r="AI345" s="337"/>
      <c r="AJ345" s="337"/>
      <c r="AK345" s="337"/>
    </row>
    <row r="346" spans="10:37" x14ac:dyDescent="0.25">
      <c r="J346" s="337"/>
      <c r="K346" s="337"/>
      <c r="L346" s="337"/>
      <c r="M346" s="337"/>
      <c r="N346" s="337"/>
      <c r="O346" s="337"/>
      <c r="P346" s="337"/>
      <c r="Q346" s="337"/>
      <c r="R346" s="337"/>
      <c r="S346" s="337"/>
      <c r="T346" s="337"/>
      <c r="U346" s="337"/>
      <c r="V346" s="337"/>
      <c r="W346" s="337"/>
      <c r="X346" s="337"/>
      <c r="Y346" s="337"/>
      <c r="Z346" s="337"/>
      <c r="AA346" s="337"/>
      <c r="AB346" s="337"/>
      <c r="AC346" s="337"/>
      <c r="AD346" s="337"/>
      <c r="AE346" s="337"/>
      <c r="AF346" s="337"/>
      <c r="AG346" s="337"/>
      <c r="AH346" s="337"/>
      <c r="AI346" s="337"/>
      <c r="AJ346" s="337"/>
      <c r="AK346" s="337"/>
    </row>
    <row r="347" spans="10:37" x14ac:dyDescent="0.25">
      <c r="J347" s="337"/>
      <c r="K347" s="337"/>
      <c r="L347" s="337"/>
      <c r="M347" s="337"/>
      <c r="N347" s="337"/>
      <c r="O347" s="337"/>
      <c r="P347" s="337"/>
      <c r="Q347" s="337"/>
      <c r="R347" s="337"/>
      <c r="S347" s="337"/>
      <c r="T347" s="337"/>
      <c r="U347" s="337"/>
      <c r="V347" s="337"/>
      <c r="W347" s="337"/>
      <c r="X347" s="337"/>
      <c r="Y347" s="337"/>
      <c r="Z347" s="337"/>
      <c r="AA347" s="337"/>
      <c r="AB347" s="337"/>
      <c r="AC347" s="337"/>
      <c r="AD347" s="337"/>
      <c r="AE347" s="337"/>
      <c r="AF347" s="337"/>
      <c r="AG347" s="337"/>
      <c r="AH347" s="337"/>
      <c r="AI347" s="337"/>
      <c r="AJ347" s="337"/>
      <c r="AK347" s="337"/>
    </row>
    <row r="348" spans="10:37" x14ac:dyDescent="0.25">
      <c r="J348" s="337"/>
      <c r="K348" s="337"/>
      <c r="L348" s="337"/>
      <c r="M348" s="337"/>
      <c r="N348" s="337"/>
      <c r="O348" s="337"/>
      <c r="P348" s="337"/>
      <c r="Q348" s="337"/>
      <c r="R348" s="337"/>
      <c r="S348" s="337"/>
      <c r="T348" s="337"/>
      <c r="U348" s="337"/>
      <c r="V348" s="337"/>
      <c r="W348" s="337"/>
      <c r="X348" s="337"/>
      <c r="Y348" s="337"/>
      <c r="Z348" s="337"/>
      <c r="AA348" s="337"/>
      <c r="AB348" s="337"/>
      <c r="AC348" s="337"/>
      <c r="AD348" s="337"/>
      <c r="AE348" s="337"/>
      <c r="AF348" s="337"/>
      <c r="AG348" s="337"/>
      <c r="AH348" s="337"/>
      <c r="AI348" s="337"/>
      <c r="AJ348" s="337"/>
      <c r="AK348" s="337"/>
    </row>
    <row r="349" spans="10:37" x14ac:dyDescent="0.25">
      <c r="J349" s="337"/>
      <c r="K349" s="337"/>
      <c r="L349" s="337"/>
      <c r="M349" s="337"/>
      <c r="N349" s="337"/>
      <c r="O349" s="337"/>
      <c r="P349" s="337"/>
      <c r="Q349" s="337"/>
      <c r="R349" s="337"/>
      <c r="S349" s="337"/>
      <c r="T349" s="337"/>
      <c r="U349" s="337"/>
      <c r="V349" s="337"/>
      <c r="W349" s="337"/>
      <c r="X349" s="337"/>
      <c r="Y349" s="337"/>
      <c r="Z349" s="337"/>
      <c r="AA349" s="337"/>
      <c r="AB349" s="337"/>
      <c r="AC349" s="337"/>
      <c r="AD349" s="337"/>
      <c r="AE349" s="337"/>
      <c r="AF349" s="337"/>
      <c r="AG349" s="337"/>
      <c r="AH349" s="337"/>
      <c r="AI349" s="337"/>
      <c r="AJ349" s="337"/>
      <c r="AK349" s="337"/>
    </row>
    <row r="350" spans="10:37" x14ac:dyDescent="0.25">
      <c r="J350" s="337"/>
      <c r="K350" s="337"/>
      <c r="L350" s="337"/>
      <c r="M350" s="337"/>
      <c r="N350" s="337"/>
      <c r="O350" s="337"/>
      <c r="P350" s="337"/>
      <c r="Q350" s="337"/>
      <c r="R350" s="337"/>
      <c r="S350" s="337"/>
      <c r="T350" s="337"/>
      <c r="U350" s="337"/>
      <c r="V350" s="337"/>
      <c r="W350" s="337"/>
      <c r="X350" s="337"/>
      <c r="Y350" s="337"/>
      <c r="Z350" s="337"/>
      <c r="AA350" s="337"/>
      <c r="AB350" s="337"/>
      <c r="AC350" s="337"/>
      <c r="AD350" s="337"/>
      <c r="AE350" s="337"/>
      <c r="AF350" s="337"/>
      <c r="AG350" s="337"/>
      <c r="AH350" s="337"/>
      <c r="AI350" s="337"/>
      <c r="AJ350" s="337"/>
      <c r="AK350" s="337"/>
    </row>
    <row r="351" spans="10:37" x14ac:dyDescent="0.25">
      <c r="J351" s="337"/>
      <c r="K351" s="337"/>
      <c r="L351" s="337"/>
      <c r="M351" s="337"/>
      <c r="N351" s="337"/>
      <c r="O351" s="337"/>
      <c r="P351" s="337"/>
      <c r="Q351" s="337"/>
      <c r="R351" s="337"/>
      <c r="S351" s="337"/>
      <c r="T351" s="337"/>
      <c r="U351" s="337"/>
      <c r="V351" s="337"/>
      <c r="W351" s="337"/>
      <c r="X351" s="337"/>
      <c r="Y351" s="337"/>
      <c r="Z351" s="337"/>
      <c r="AA351" s="337"/>
      <c r="AB351" s="337"/>
      <c r="AC351" s="337"/>
      <c r="AD351" s="337"/>
      <c r="AE351" s="337"/>
      <c r="AF351" s="337"/>
      <c r="AG351" s="337"/>
      <c r="AH351" s="337"/>
      <c r="AI351" s="337"/>
      <c r="AJ351" s="337"/>
      <c r="AK351" s="337"/>
    </row>
    <row r="352" spans="10:37" x14ac:dyDescent="0.25">
      <c r="J352" s="337"/>
      <c r="K352" s="337"/>
      <c r="L352" s="337"/>
      <c r="M352" s="337"/>
      <c r="N352" s="337"/>
      <c r="O352" s="337"/>
      <c r="P352" s="337"/>
      <c r="Q352" s="337"/>
      <c r="R352" s="337"/>
      <c r="S352" s="337"/>
      <c r="T352" s="337"/>
      <c r="U352" s="337"/>
      <c r="V352" s="337"/>
      <c r="W352" s="337"/>
      <c r="X352" s="337"/>
      <c r="Y352" s="337"/>
      <c r="Z352" s="337"/>
      <c r="AA352" s="337"/>
      <c r="AB352" s="337"/>
      <c r="AC352" s="337"/>
      <c r="AD352" s="337"/>
      <c r="AE352" s="337"/>
      <c r="AF352" s="337"/>
      <c r="AG352" s="337"/>
      <c r="AH352" s="337"/>
      <c r="AI352" s="337"/>
      <c r="AJ352" s="337"/>
      <c r="AK352" s="337"/>
    </row>
    <row r="353" spans="10:37" x14ac:dyDescent="0.25">
      <c r="J353" s="337"/>
      <c r="K353" s="337"/>
      <c r="L353" s="337"/>
      <c r="M353" s="337"/>
      <c r="N353" s="337"/>
      <c r="O353" s="337"/>
      <c r="P353" s="337"/>
      <c r="Q353" s="337"/>
      <c r="R353" s="337"/>
      <c r="S353" s="337"/>
      <c r="T353" s="337"/>
      <c r="U353" s="337"/>
      <c r="V353" s="337"/>
      <c r="W353" s="337"/>
      <c r="X353" s="337"/>
      <c r="Y353" s="337"/>
      <c r="Z353" s="337"/>
      <c r="AA353" s="337"/>
      <c r="AB353" s="337"/>
      <c r="AC353" s="337"/>
      <c r="AD353" s="337"/>
      <c r="AE353" s="337"/>
      <c r="AF353" s="337"/>
      <c r="AG353" s="337"/>
      <c r="AH353" s="337"/>
      <c r="AI353" s="337"/>
      <c r="AJ353" s="337"/>
      <c r="AK353" s="337"/>
    </row>
    <row r="354" spans="10:37" x14ac:dyDescent="0.25">
      <c r="J354" s="337"/>
      <c r="K354" s="337"/>
      <c r="L354" s="337"/>
      <c r="M354" s="337"/>
      <c r="N354" s="337"/>
      <c r="O354" s="337"/>
      <c r="P354" s="337"/>
      <c r="Q354" s="337"/>
      <c r="R354" s="337"/>
      <c r="S354" s="337"/>
      <c r="T354" s="337"/>
      <c r="U354" s="337"/>
      <c r="V354" s="337"/>
      <c r="W354" s="337"/>
      <c r="X354" s="337"/>
      <c r="Y354" s="337"/>
      <c r="Z354" s="337"/>
      <c r="AA354" s="337"/>
      <c r="AB354" s="337"/>
      <c r="AC354" s="337"/>
      <c r="AD354" s="337"/>
      <c r="AE354" s="337"/>
      <c r="AF354" s="337"/>
      <c r="AG354" s="337"/>
      <c r="AH354" s="337"/>
      <c r="AI354" s="337"/>
      <c r="AJ354" s="337"/>
      <c r="AK354" s="337"/>
    </row>
    <row r="355" spans="10:37" x14ac:dyDescent="0.25">
      <c r="J355" s="337"/>
      <c r="K355" s="337"/>
      <c r="L355" s="337"/>
      <c r="M355" s="337"/>
      <c r="N355" s="337"/>
      <c r="O355" s="337"/>
      <c r="P355" s="337"/>
      <c r="Q355" s="337"/>
      <c r="R355" s="337"/>
      <c r="S355" s="337"/>
      <c r="T355" s="337"/>
      <c r="U355" s="337"/>
      <c r="V355" s="337"/>
      <c r="W355" s="337"/>
      <c r="X355" s="337"/>
      <c r="Y355" s="337"/>
      <c r="Z355" s="337"/>
      <c r="AA355" s="337"/>
      <c r="AB355" s="337"/>
      <c r="AC355" s="337"/>
      <c r="AD355" s="337"/>
      <c r="AE355" s="337"/>
      <c r="AF355" s="337"/>
      <c r="AG355" s="337"/>
      <c r="AH355" s="337"/>
      <c r="AI355" s="337"/>
      <c r="AJ355" s="337"/>
      <c r="AK355" s="337"/>
    </row>
    <row r="356" spans="10:37" x14ac:dyDescent="0.25">
      <c r="J356" s="337"/>
      <c r="K356" s="337"/>
      <c r="L356" s="337"/>
      <c r="M356" s="337"/>
      <c r="N356" s="337"/>
      <c r="O356" s="337"/>
      <c r="P356" s="337"/>
      <c r="Q356" s="337"/>
      <c r="R356" s="337"/>
      <c r="S356" s="337"/>
      <c r="T356" s="337"/>
      <c r="U356" s="337"/>
      <c r="V356" s="337"/>
      <c r="W356" s="337"/>
      <c r="X356" s="337"/>
      <c r="Y356" s="337"/>
      <c r="Z356" s="337"/>
      <c r="AA356" s="337"/>
      <c r="AB356" s="337"/>
      <c r="AC356" s="337"/>
      <c r="AD356" s="337"/>
      <c r="AE356" s="337"/>
      <c r="AF356" s="337"/>
      <c r="AG356" s="337"/>
      <c r="AH356" s="337"/>
      <c r="AI356" s="337"/>
      <c r="AJ356" s="337"/>
      <c r="AK356" s="337"/>
    </row>
  </sheetData>
  <mergeCells count="59">
    <mergeCell ref="M7:M10"/>
    <mergeCell ref="N7:N10"/>
    <mergeCell ref="AB9:AB10"/>
    <mergeCell ref="X8:X10"/>
    <mergeCell ref="Z8:Z10"/>
    <mergeCell ref="AA8:AB8"/>
    <mergeCell ref="T7:V7"/>
    <mergeCell ref="O7:P7"/>
    <mergeCell ref="W7:W10"/>
    <mergeCell ref="Y7:Y10"/>
    <mergeCell ref="Z7:AB7"/>
    <mergeCell ref="AG8:AG10"/>
    <mergeCell ref="AJ8:AJ10"/>
    <mergeCell ref="AI7:AI10"/>
    <mergeCell ref="AE8:AE10"/>
    <mergeCell ref="G7:G10"/>
    <mergeCell ref="H7:I7"/>
    <mergeCell ref="J7:J10"/>
    <mergeCell ref="K7:K10"/>
    <mergeCell ref="L7:L10"/>
    <mergeCell ref="H8:H10"/>
    <mergeCell ref="I8:I10"/>
    <mergeCell ref="P9:P10"/>
    <mergeCell ref="U9:U10"/>
    <mergeCell ref="V9:V10"/>
    <mergeCell ref="AA9:AA10"/>
    <mergeCell ref="AC5:AC10"/>
    <mergeCell ref="A1:AK1"/>
    <mergeCell ref="A2:AK2"/>
    <mergeCell ref="A3:AK3"/>
    <mergeCell ref="A4:AK4"/>
    <mergeCell ref="A5:A10"/>
    <mergeCell ref="B5:B10"/>
    <mergeCell ref="C5:C10"/>
    <mergeCell ref="D5:D10"/>
    <mergeCell ref="E5:E10"/>
    <mergeCell ref="F5:F10"/>
    <mergeCell ref="AK5:AK10"/>
    <mergeCell ref="AD6:AE6"/>
    <mergeCell ref="AF6:AG6"/>
    <mergeCell ref="AD5:AG5"/>
    <mergeCell ref="AH5:AH10"/>
    <mergeCell ref="AI5:AJ6"/>
    <mergeCell ref="AD7:AD10"/>
    <mergeCell ref="AF7:AF10"/>
    <mergeCell ref="G5:I6"/>
    <mergeCell ref="J5:K5"/>
    <mergeCell ref="L5:M5"/>
    <mergeCell ref="N5:P6"/>
    <mergeCell ref="Q5:R5"/>
    <mergeCell ref="S5:V5"/>
    <mergeCell ref="W5:X5"/>
    <mergeCell ref="Y5:AB5"/>
    <mergeCell ref="O8:O10"/>
    <mergeCell ref="T8:T10"/>
    <mergeCell ref="U8:V8"/>
    <mergeCell ref="Q7:Q10"/>
    <mergeCell ref="R7:R10"/>
    <mergeCell ref="S7:S10"/>
  </mergeCells>
  <printOptions horizontalCentered="1"/>
  <pageMargins left="0" right="0" top="0.15748031496062992" bottom="0" header="0.31496062992125984" footer="0.31496062992125984"/>
  <pageSetup paperSize="9" scale="90" orientation="landscape" verticalDpi="0"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workbookViewId="0">
      <selection activeCell="DK16" sqref="DK16"/>
    </sheetView>
  </sheetViews>
  <sheetFormatPr defaultColWidth="12.42578125" defaultRowHeight="18.75" x14ac:dyDescent="0.3"/>
  <cols>
    <col min="1" max="1" width="7.28515625" style="377" customWidth="1"/>
    <col min="2" max="2" width="58.7109375" style="342" customWidth="1"/>
    <col min="3" max="3" width="17.28515625" style="378" customWidth="1"/>
    <col min="4" max="4" width="15.28515625" style="377" customWidth="1"/>
    <col min="5" max="5" width="14.5703125" style="342" customWidth="1"/>
    <col min="6" max="6" width="14.5703125" style="342" hidden="1" customWidth="1"/>
    <col min="7" max="7" width="16" style="342" hidden="1" customWidth="1"/>
    <col min="8" max="9" width="16.5703125" style="342" hidden="1" customWidth="1"/>
    <col min="10" max="10" width="12.42578125" style="342" hidden="1" customWidth="1"/>
    <col min="11" max="11" width="15.42578125" style="342" hidden="1" customWidth="1"/>
    <col min="12" max="14" width="12.7109375" style="342" hidden="1" customWidth="1"/>
    <col min="15" max="15" width="14.7109375" style="379" customWidth="1"/>
    <col min="16" max="16" width="12.42578125" style="342" hidden="1" customWidth="1"/>
    <col min="17" max="17" width="20" style="342" hidden="1" customWidth="1"/>
    <col min="18" max="18" width="20" style="342" customWidth="1"/>
    <col min="19" max="16384" width="12.42578125" style="342"/>
  </cols>
  <sheetData>
    <row r="1" spans="1:19" ht="28.5" customHeight="1" x14ac:dyDescent="0.3">
      <c r="A1" s="706" t="s">
        <v>1699</v>
      </c>
      <c r="B1" s="706"/>
      <c r="C1" s="706"/>
      <c r="D1" s="706"/>
      <c r="E1" s="706"/>
      <c r="F1" s="706"/>
      <c r="G1" s="706"/>
      <c r="H1" s="706"/>
      <c r="I1" s="706"/>
      <c r="J1" s="706"/>
      <c r="K1" s="706"/>
      <c r="L1" s="706"/>
      <c r="M1" s="706"/>
      <c r="N1" s="706"/>
      <c r="O1" s="706"/>
      <c r="P1" s="706"/>
      <c r="Q1" s="706"/>
      <c r="R1" s="706"/>
    </row>
    <row r="2" spans="1:19" ht="44.25" customHeight="1" x14ac:dyDescent="0.3">
      <c r="A2" s="707" t="s">
        <v>1700</v>
      </c>
      <c r="B2" s="707"/>
      <c r="C2" s="707"/>
      <c r="D2" s="707"/>
      <c r="E2" s="707"/>
      <c r="F2" s="707"/>
      <c r="G2" s="707"/>
      <c r="H2" s="707"/>
      <c r="I2" s="707"/>
      <c r="J2" s="707"/>
      <c r="K2" s="707"/>
      <c r="L2" s="707"/>
      <c r="M2" s="707"/>
      <c r="N2" s="707"/>
      <c r="O2" s="707"/>
      <c r="P2" s="707"/>
      <c r="Q2" s="707"/>
      <c r="R2" s="707"/>
    </row>
    <row r="3" spans="1:19" ht="32.25" customHeight="1" x14ac:dyDescent="0.3">
      <c r="A3" s="708" t="str">
        <f>'[3]PL3 NSTW '!A3:AK3</f>
        <v>(Kèm theo Tờ trình số        TTr -TCKH ngày      tháng 11 năm 2023 của phòng Tài chính Kế hoạch huyện Phụng Hiệp)</v>
      </c>
      <c r="B3" s="708"/>
      <c r="C3" s="708"/>
      <c r="D3" s="708"/>
      <c r="E3" s="708"/>
      <c r="F3" s="708"/>
      <c r="G3" s="708"/>
      <c r="H3" s="708"/>
      <c r="I3" s="708"/>
      <c r="J3" s="708"/>
      <c r="K3" s="708"/>
      <c r="L3" s="708"/>
      <c r="M3" s="708"/>
      <c r="N3" s="708"/>
      <c r="O3" s="708"/>
      <c r="P3" s="708"/>
      <c r="Q3" s="708"/>
      <c r="R3" s="708"/>
    </row>
    <row r="4" spans="1:19" ht="36" customHeight="1" x14ac:dyDescent="0.3">
      <c r="A4" s="343"/>
      <c r="B4" s="344"/>
      <c r="C4" s="345"/>
      <c r="D4" s="343"/>
      <c r="E4" s="344"/>
      <c r="F4" s="344"/>
      <c r="G4" s="344"/>
      <c r="H4" s="344"/>
      <c r="I4" s="344"/>
      <c r="J4" s="344"/>
      <c r="K4" s="344"/>
      <c r="L4" s="344"/>
      <c r="M4" s="344"/>
      <c r="N4" s="344"/>
      <c r="O4" s="709" t="s">
        <v>56</v>
      </c>
      <c r="P4" s="709"/>
      <c r="Q4" s="709"/>
      <c r="R4" s="709"/>
    </row>
    <row r="5" spans="1:19" s="346" customFormat="1" ht="33.75" customHeight="1" x14ac:dyDescent="0.3">
      <c r="A5" s="696" t="s">
        <v>1701</v>
      </c>
      <c r="B5" s="696" t="s">
        <v>180</v>
      </c>
      <c r="C5" s="696" t="s">
        <v>183</v>
      </c>
      <c r="D5" s="710" t="s">
        <v>188</v>
      </c>
      <c r="E5" s="711"/>
      <c r="F5" s="696" t="s">
        <v>1702</v>
      </c>
      <c r="G5" s="696" t="s">
        <v>1703</v>
      </c>
      <c r="H5" s="696" t="s">
        <v>1704</v>
      </c>
      <c r="I5" s="696" t="s">
        <v>1705</v>
      </c>
      <c r="J5" s="698" t="s">
        <v>1706</v>
      </c>
      <c r="K5" s="699"/>
      <c r="L5" s="699"/>
      <c r="M5" s="699"/>
      <c r="N5" s="699"/>
      <c r="O5" s="699"/>
      <c r="P5" s="700"/>
      <c r="Q5" s="704" t="s">
        <v>129</v>
      </c>
      <c r="R5" s="696" t="s">
        <v>129</v>
      </c>
    </row>
    <row r="6" spans="1:19" s="346" customFormat="1" ht="63" customHeight="1" x14ac:dyDescent="0.3">
      <c r="A6" s="697"/>
      <c r="B6" s="697"/>
      <c r="C6" s="697"/>
      <c r="D6" s="347" t="s">
        <v>1707</v>
      </c>
      <c r="E6" s="347" t="s">
        <v>190</v>
      </c>
      <c r="F6" s="697"/>
      <c r="G6" s="697"/>
      <c r="H6" s="697"/>
      <c r="I6" s="697"/>
      <c r="J6" s="701"/>
      <c r="K6" s="702"/>
      <c r="L6" s="702"/>
      <c r="M6" s="702"/>
      <c r="N6" s="702"/>
      <c r="O6" s="702"/>
      <c r="P6" s="703"/>
      <c r="Q6" s="705"/>
      <c r="R6" s="697"/>
    </row>
    <row r="7" spans="1:19" s="346" customFormat="1" ht="28.5" customHeight="1" x14ac:dyDescent="0.3">
      <c r="A7" s="347"/>
      <c r="B7" s="347" t="s">
        <v>1244</v>
      </c>
      <c r="C7" s="347"/>
      <c r="D7" s="348">
        <f>D8+D16</f>
        <v>59920</v>
      </c>
      <c r="E7" s="348">
        <f t="shared" ref="E7:N7" si="0">E8+E16</f>
        <v>59920</v>
      </c>
      <c r="F7" s="348">
        <f t="shared" si="0"/>
        <v>46000</v>
      </c>
      <c r="G7" s="348">
        <f t="shared" si="0"/>
        <v>56920</v>
      </c>
      <c r="H7" s="348">
        <f t="shared" si="0"/>
        <v>3000</v>
      </c>
      <c r="I7" s="348">
        <f t="shared" si="0"/>
        <v>59920</v>
      </c>
      <c r="J7" s="348">
        <f t="shared" si="0"/>
        <v>10000</v>
      </c>
      <c r="K7" s="348">
        <f t="shared" si="0"/>
        <v>0</v>
      </c>
      <c r="L7" s="348">
        <f t="shared" si="0"/>
        <v>13300</v>
      </c>
      <c r="M7" s="348">
        <f t="shared" si="0"/>
        <v>0</v>
      </c>
      <c r="N7" s="348">
        <f t="shared" si="0"/>
        <v>36620</v>
      </c>
      <c r="O7" s="348">
        <f>O8+O16</f>
        <v>13074</v>
      </c>
      <c r="P7" s="349">
        <f>N7-O7</f>
        <v>23546</v>
      </c>
      <c r="Q7" s="349">
        <v>82910</v>
      </c>
      <c r="R7" s="349"/>
      <c r="S7" s="350"/>
    </row>
    <row r="8" spans="1:19" ht="24" customHeight="1" x14ac:dyDescent="0.3">
      <c r="A8" s="351" t="s">
        <v>15</v>
      </c>
      <c r="B8" s="352" t="s">
        <v>1708</v>
      </c>
      <c r="C8" s="351"/>
      <c r="D8" s="353">
        <f>D9+D12+D14</f>
        <v>37800</v>
      </c>
      <c r="E8" s="353">
        <f t="shared" ref="E8:Q8" si="1">E9+E12+E14</f>
        <v>37800</v>
      </c>
      <c r="F8" s="353">
        <f t="shared" si="1"/>
        <v>34800</v>
      </c>
      <c r="G8" s="353">
        <f t="shared" si="1"/>
        <v>34800</v>
      </c>
      <c r="H8" s="353">
        <f t="shared" si="1"/>
        <v>3000</v>
      </c>
      <c r="I8" s="353">
        <f t="shared" si="1"/>
        <v>37800</v>
      </c>
      <c r="J8" s="353">
        <f t="shared" si="1"/>
        <v>8000</v>
      </c>
      <c r="K8" s="353">
        <f t="shared" si="1"/>
        <v>0</v>
      </c>
      <c r="L8" s="353">
        <f t="shared" si="1"/>
        <v>10000</v>
      </c>
      <c r="M8" s="353">
        <f t="shared" si="1"/>
        <v>0</v>
      </c>
      <c r="N8" s="353">
        <f t="shared" si="1"/>
        <v>19800</v>
      </c>
      <c r="O8" s="353">
        <f>O9</f>
        <v>8641</v>
      </c>
      <c r="P8" s="353">
        <f t="shared" si="1"/>
        <v>3018</v>
      </c>
      <c r="Q8" s="353">
        <f t="shared" si="1"/>
        <v>0</v>
      </c>
      <c r="R8" s="354"/>
    </row>
    <row r="9" spans="1:19" ht="28.15" customHeight="1" x14ac:dyDescent="0.3">
      <c r="A9" s="355" t="s">
        <v>1110</v>
      </c>
      <c r="B9" s="356" t="s">
        <v>1709</v>
      </c>
      <c r="C9" s="351"/>
      <c r="D9" s="353">
        <f>D12+D14+D10</f>
        <v>20400</v>
      </c>
      <c r="E9" s="353">
        <f t="shared" ref="E9:Q9" si="2">E12+E14+E10</f>
        <v>20400</v>
      </c>
      <c r="F9" s="353">
        <f t="shared" si="2"/>
        <v>17400</v>
      </c>
      <c r="G9" s="353">
        <f t="shared" si="2"/>
        <v>17400</v>
      </c>
      <c r="H9" s="353">
        <f t="shared" si="2"/>
        <v>3000</v>
      </c>
      <c r="I9" s="348">
        <f t="shared" ref="I9:I15" si="3">+G9+H9</f>
        <v>20400</v>
      </c>
      <c r="J9" s="353">
        <f t="shared" si="2"/>
        <v>4000</v>
      </c>
      <c r="K9" s="353"/>
      <c r="L9" s="353">
        <f t="shared" si="2"/>
        <v>5000</v>
      </c>
      <c r="M9" s="353"/>
      <c r="N9" s="349">
        <f t="shared" ref="N9:N15" si="4">I9-(J9+L9)</f>
        <v>11400</v>
      </c>
      <c r="O9" s="357">
        <f>O12+O14+O10</f>
        <v>8641</v>
      </c>
      <c r="P9" s="349">
        <f t="shared" ref="P9:P25" si="5">N9-O9</f>
        <v>2759</v>
      </c>
      <c r="Q9" s="358">
        <f t="shared" si="2"/>
        <v>0</v>
      </c>
      <c r="R9" s="358"/>
    </row>
    <row r="10" spans="1:19" ht="28.15" customHeight="1" x14ac:dyDescent="0.3">
      <c r="A10" s="355"/>
      <c r="B10" s="352" t="s">
        <v>1710</v>
      </c>
      <c r="C10" s="351"/>
      <c r="D10" s="353">
        <f>D11</f>
        <v>3000</v>
      </c>
      <c r="E10" s="353">
        <f t="shared" ref="E10:Q10" si="6">E11</f>
        <v>3000</v>
      </c>
      <c r="F10" s="353">
        <f t="shared" si="6"/>
        <v>0</v>
      </c>
      <c r="G10" s="353">
        <f t="shared" si="6"/>
        <v>0</v>
      </c>
      <c r="H10" s="353">
        <f t="shared" si="6"/>
        <v>3000</v>
      </c>
      <c r="I10" s="348">
        <f t="shared" si="3"/>
        <v>3000</v>
      </c>
      <c r="J10" s="353">
        <f t="shared" si="6"/>
        <v>0</v>
      </c>
      <c r="K10" s="353"/>
      <c r="L10" s="353">
        <f t="shared" si="6"/>
        <v>0</v>
      </c>
      <c r="M10" s="353"/>
      <c r="N10" s="349">
        <f t="shared" si="4"/>
        <v>3000</v>
      </c>
      <c r="O10" s="357">
        <f t="shared" si="6"/>
        <v>500</v>
      </c>
      <c r="P10" s="349">
        <f t="shared" si="5"/>
        <v>2500</v>
      </c>
      <c r="Q10" s="358">
        <f t="shared" si="6"/>
        <v>0</v>
      </c>
      <c r="R10" s="358"/>
    </row>
    <row r="11" spans="1:19" ht="28.15" customHeight="1" x14ac:dyDescent="0.3">
      <c r="A11" s="351">
        <v>1</v>
      </c>
      <c r="B11" s="359" t="s">
        <v>1711</v>
      </c>
      <c r="C11" s="351" t="s">
        <v>1712</v>
      </c>
      <c r="D11" s="360">
        <f>E11</f>
        <v>3000</v>
      </c>
      <c r="E11" s="360">
        <v>3000</v>
      </c>
      <c r="F11" s="360"/>
      <c r="G11" s="360"/>
      <c r="H11" s="360">
        <v>3000</v>
      </c>
      <c r="I11" s="348">
        <f t="shared" si="3"/>
        <v>3000</v>
      </c>
      <c r="J11" s="361"/>
      <c r="K11" s="361"/>
      <c r="L11" s="361"/>
      <c r="M11" s="361"/>
      <c r="N11" s="349">
        <f t="shared" si="4"/>
        <v>3000</v>
      </c>
      <c r="O11" s="362">
        <v>500</v>
      </c>
      <c r="P11" s="349">
        <f t="shared" si="5"/>
        <v>2500</v>
      </c>
      <c r="Q11" s="363"/>
      <c r="R11" s="363"/>
    </row>
    <row r="12" spans="1:19" s="346" customFormat="1" ht="24" customHeight="1" x14ac:dyDescent="0.3">
      <c r="A12" s="355"/>
      <c r="B12" s="364" t="s">
        <v>1713</v>
      </c>
      <c r="C12" s="365"/>
      <c r="D12" s="353">
        <f>D13</f>
        <v>9400</v>
      </c>
      <c r="E12" s="353">
        <f>E13</f>
        <v>9400</v>
      </c>
      <c r="F12" s="353">
        <f>F13</f>
        <v>9400</v>
      </c>
      <c r="G12" s="353">
        <f>G13</f>
        <v>9400</v>
      </c>
      <c r="H12" s="353"/>
      <c r="I12" s="348">
        <f t="shared" si="3"/>
        <v>9400</v>
      </c>
      <c r="J12" s="366">
        <f t="shared" ref="J12:O12" si="7">J13</f>
        <v>2000</v>
      </c>
      <c r="K12" s="366"/>
      <c r="L12" s="366">
        <f t="shared" si="7"/>
        <v>2500</v>
      </c>
      <c r="M12" s="366"/>
      <c r="N12" s="349">
        <f t="shared" si="4"/>
        <v>4900</v>
      </c>
      <c r="O12" s="357">
        <f t="shared" si="7"/>
        <v>4800</v>
      </c>
      <c r="P12" s="349">
        <f t="shared" si="5"/>
        <v>100</v>
      </c>
      <c r="Q12" s="354"/>
      <c r="R12" s="354"/>
    </row>
    <row r="13" spans="1:19" ht="24" customHeight="1" x14ac:dyDescent="0.3">
      <c r="A13" s="351">
        <v>1</v>
      </c>
      <c r="B13" s="367" t="s">
        <v>1714</v>
      </c>
      <c r="C13" s="351" t="s">
        <v>1715</v>
      </c>
      <c r="D13" s="360">
        <v>9400</v>
      </c>
      <c r="E13" s="360">
        <v>9400</v>
      </c>
      <c r="F13" s="360">
        <v>9400</v>
      </c>
      <c r="G13" s="360">
        <v>9400</v>
      </c>
      <c r="H13" s="360"/>
      <c r="I13" s="348">
        <f t="shared" si="3"/>
        <v>9400</v>
      </c>
      <c r="J13" s="361">
        <v>2000</v>
      </c>
      <c r="K13" s="361"/>
      <c r="L13" s="361">
        <v>2500</v>
      </c>
      <c r="M13" s="361"/>
      <c r="N13" s="349">
        <f t="shared" si="4"/>
        <v>4900</v>
      </c>
      <c r="O13" s="360">
        <v>4800</v>
      </c>
      <c r="P13" s="349">
        <f t="shared" si="5"/>
        <v>100</v>
      </c>
      <c r="Q13" s="363"/>
      <c r="R13" s="363"/>
    </row>
    <row r="14" spans="1:19" s="346" customFormat="1" ht="29.1" customHeight="1" x14ac:dyDescent="0.3">
      <c r="A14" s="355"/>
      <c r="B14" s="364" t="s">
        <v>1716</v>
      </c>
      <c r="C14" s="365"/>
      <c r="D14" s="353">
        <f>SUM(D15:D15)</f>
        <v>8000</v>
      </c>
      <c r="E14" s="353">
        <f>SUM(E15:E15)</f>
        <v>8000</v>
      </c>
      <c r="F14" s="353">
        <f>SUM(F15:F15)</f>
        <v>8000</v>
      </c>
      <c r="G14" s="353">
        <f>SUM(G15:G15)</f>
        <v>8000</v>
      </c>
      <c r="H14" s="353"/>
      <c r="I14" s="348">
        <f t="shared" si="3"/>
        <v>8000</v>
      </c>
      <c r="J14" s="366">
        <f>SUM(J15:J15)</f>
        <v>2000</v>
      </c>
      <c r="K14" s="366"/>
      <c r="L14" s="366">
        <f>SUM(L15:L15)</f>
        <v>2500</v>
      </c>
      <c r="M14" s="366"/>
      <c r="N14" s="349">
        <f t="shared" si="4"/>
        <v>3500</v>
      </c>
      <c r="O14" s="357">
        <f>SUM(O15:O15)</f>
        <v>3341</v>
      </c>
      <c r="P14" s="349">
        <f t="shared" si="5"/>
        <v>159</v>
      </c>
      <c r="Q14" s="354"/>
      <c r="R14" s="354"/>
    </row>
    <row r="15" spans="1:19" ht="26.25" customHeight="1" x14ac:dyDescent="0.3">
      <c r="A15" s="351">
        <v>1</v>
      </c>
      <c r="B15" s="367" t="s">
        <v>1717</v>
      </c>
      <c r="C15" s="351" t="s">
        <v>1715</v>
      </c>
      <c r="D15" s="360">
        <v>8000</v>
      </c>
      <c r="E15" s="360">
        <v>8000</v>
      </c>
      <c r="F15" s="360">
        <v>8000</v>
      </c>
      <c r="G15" s="360">
        <v>8000</v>
      </c>
      <c r="H15" s="360"/>
      <c r="I15" s="348">
        <f t="shared" si="3"/>
        <v>8000</v>
      </c>
      <c r="J15" s="361">
        <v>2000</v>
      </c>
      <c r="K15" s="361"/>
      <c r="L15" s="361">
        <v>2500</v>
      </c>
      <c r="M15" s="361"/>
      <c r="N15" s="349">
        <f t="shared" si="4"/>
        <v>3500</v>
      </c>
      <c r="O15" s="362">
        <v>3341</v>
      </c>
      <c r="P15" s="349">
        <f t="shared" si="5"/>
        <v>159</v>
      </c>
      <c r="Q15" s="363"/>
      <c r="R15" s="368"/>
    </row>
    <row r="16" spans="1:19" ht="36" customHeight="1" x14ac:dyDescent="0.3">
      <c r="A16" s="355" t="s">
        <v>16</v>
      </c>
      <c r="B16" s="369" t="s">
        <v>1718</v>
      </c>
      <c r="C16" s="351"/>
      <c r="D16" s="353">
        <f>D17+D20</f>
        <v>22120</v>
      </c>
      <c r="E16" s="353">
        <f t="shared" ref="E16:O16" si="8">E17+E20</f>
        <v>22120</v>
      </c>
      <c r="F16" s="353">
        <f t="shared" si="8"/>
        <v>11200</v>
      </c>
      <c r="G16" s="353">
        <f t="shared" si="8"/>
        <v>22120</v>
      </c>
      <c r="H16" s="353">
        <f t="shared" si="8"/>
        <v>0</v>
      </c>
      <c r="I16" s="353">
        <f t="shared" si="8"/>
        <v>22120</v>
      </c>
      <c r="J16" s="353">
        <f t="shared" si="8"/>
        <v>2000</v>
      </c>
      <c r="K16" s="353">
        <f t="shared" si="8"/>
        <v>0</v>
      </c>
      <c r="L16" s="353">
        <f t="shared" si="8"/>
        <v>3300</v>
      </c>
      <c r="M16" s="353">
        <f t="shared" si="8"/>
        <v>0</v>
      </c>
      <c r="N16" s="353">
        <f t="shared" si="8"/>
        <v>16820</v>
      </c>
      <c r="O16" s="353">
        <f t="shared" si="8"/>
        <v>4433</v>
      </c>
      <c r="P16" s="349">
        <f t="shared" si="5"/>
        <v>12387</v>
      </c>
      <c r="Q16" s="358" t="e">
        <f>#REF!+#REF!+#REF!+#REF!+#REF!+#REF!</f>
        <v>#REF!</v>
      </c>
      <c r="R16" s="370"/>
    </row>
    <row r="17" spans="1:18" ht="26.1" customHeight="1" x14ac:dyDescent="0.3">
      <c r="A17" s="355" t="s">
        <v>1110</v>
      </c>
      <c r="B17" s="356" t="s">
        <v>1719</v>
      </c>
      <c r="C17" s="351"/>
      <c r="D17" s="353">
        <f>D18</f>
        <v>8000</v>
      </c>
      <c r="E17" s="353">
        <f t="shared" ref="E17:Q18" si="9">E18</f>
        <v>8000</v>
      </c>
      <c r="F17" s="353">
        <f t="shared" si="9"/>
        <v>8000</v>
      </c>
      <c r="G17" s="353">
        <f t="shared" si="9"/>
        <v>8000</v>
      </c>
      <c r="H17" s="353">
        <f t="shared" si="9"/>
        <v>0</v>
      </c>
      <c r="I17" s="348">
        <f t="shared" ref="I17:I25" si="10">+G17+H17</f>
        <v>8000</v>
      </c>
      <c r="J17" s="353">
        <f t="shared" si="9"/>
        <v>2000</v>
      </c>
      <c r="K17" s="353"/>
      <c r="L17" s="353">
        <f t="shared" si="9"/>
        <v>3000</v>
      </c>
      <c r="M17" s="353"/>
      <c r="N17" s="349">
        <f t="shared" ref="N17:N25" si="11">I17-(J17+L17)</f>
        <v>3000</v>
      </c>
      <c r="O17" s="357">
        <f t="shared" si="9"/>
        <v>2894</v>
      </c>
      <c r="P17" s="349">
        <f t="shared" si="5"/>
        <v>106</v>
      </c>
      <c r="Q17" s="358">
        <f t="shared" si="9"/>
        <v>0</v>
      </c>
      <c r="R17" s="358"/>
    </row>
    <row r="18" spans="1:18" s="346" customFormat="1" ht="26.1" customHeight="1" x14ac:dyDescent="0.3">
      <c r="A18" s="355"/>
      <c r="B18" s="364" t="s">
        <v>1713</v>
      </c>
      <c r="C18" s="347"/>
      <c r="D18" s="353">
        <f>D19</f>
        <v>8000</v>
      </c>
      <c r="E18" s="353">
        <f t="shared" si="9"/>
        <v>8000</v>
      </c>
      <c r="F18" s="353">
        <f t="shared" si="9"/>
        <v>8000</v>
      </c>
      <c r="G18" s="353">
        <f t="shared" si="9"/>
        <v>8000</v>
      </c>
      <c r="H18" s="353">
        <f t="shared" si="9"/>
        <v>0</v>
      </c>
      <c r="I18" s="348">
        <f t="shared" si="10"/>
        <v>8000</v>
      </c>
      <c r="J18" s="353">
        <f t="shared" si="9"/>
        <v>2000</v>
      </c>
      <c r="K18" s="353"/>
      <c r="L18" s="353">
        <f t="shared" si="9"/>
        <v>3000</v>
      </c>
      <c r="M18" s="353"/>
      <c r="N18" s="349">
        <f t="shared" si="11"/>
        <v>3000</v>
      </c>
      <c r="O18" s="357">
        <f t="shared" si="9"/>
        <v>2894</v>
      </c>
      <c r="P18" s="349">
        <f t="shared" si="5"/>
        <v>106</v>
      </c>
      <c r="Q18" s="354"/>
      <c r="R18" s="354"/>
    </row>
    <row r="19" spans="1:18" s="371" customFormat="1" ht="26.1" customHeight="1" x14ac:dyDescent="0.25">
      <c r="A19" s="351">
        <v>1</v>
      </c>
      <c r="B19" s="367" t="s">
        <v>1498</v>
      </c>
      <c r="C19" s="351" t="s">
        <v>1715</v>
      </c>
      <c r="D19" s="360">
        <v>8000</v>
      </c>
      <c r="E19" s="360">
        <v>8000</v>
      </c>
      <c r="F19" s="360">
        <v>8000</v>
      </c>
      <c r="G19" s="360">
        <v>8000</v>
      </c>
      <c r="H19" s="360"/>
      <c r="I19" s="348">
        <f t="shared" si="10"/>
        <v>8000</v>
      </c>
      <c r="J19" s="361">
        <v>2000</v>
      </c>
      <c r="K19" s="361"/>
      <c r="L19" s="361">
        <v>3000</v>
      </c>
      <c r="M19" s="361"/>
      <c r="N19" s="349">
        <f t="shared" si="11"/>
        <v>3000</v>
      </c>
      <c r="O19" s="360">
        <v>2894</v>
      </c>
      <c r="P19" s="349">
        <f t="shared" si="5"/>
        <v>106</v>
      </c>
      <c r="Q19" s="361"/>
      <c r="R19" s="361"/>
    </row>
    <row r="20" spans="1:18" ht="26.1" customHeight="1" x14ac:dyDescent="0.3">
      <c r="A20" s="355" t="s">
        <v>1110</v>
      </c>
      <c r="B20" s="356" t="s">
        <v>1720</v>
      </c>
      <c r="C20" s="351"/>
      <c r="D20" s="353">
        <f>D21+D23</f>
        <v>14120</v>
      </c>
      <c r="E20" s="353">
        <f>E21+E23</f>
        <v>14120</v>
      </c>
      <c r="F20" s="353">
        <f>F21+F23</f>
        <v>3200</v>
      </c>
      <c r="G20" s="353">
        <f>G21+G23</f>
        <v>14120</v>
      </c>
      <c r="H20" s="353">
        <f>H21+H23</f>
        <v>0</v>
      </c>
      <c r="I20" s="348">
        <f t="shared" si="10"/>
        <v>14120</v>
      </c>
      <c r="J20" s="353">
        <f>J21+J23</f>
        <v>0</v>
      </c>
      <c r="K20" s="353"/>
      <c r="L20" s="353">
        <f>L21+L23</f>
        <v>300</v>
      </c>
      <c r="M20" s="353"/>
      <c r="N20" s="349">
        <f t="shared" si="11"/>
        <v>13820</v>
      </c>
      <c r="O20" s="357">
        <f>O21+O23</f>
        <v>1539</v>
      </c>
      <c r="P20" s="349">
        <f t="shared" si="5"/>
        <v>12281</v>
      </c>
      <c r="Q20" s="354"/>
      <c r="R20" s="354"/>
    </row>
    <row r="21" spans="1:18" s="346" customFormat="1" ht="29.1" customHeight="1" x14ac:dyDescent="0.3">
      <c r="A21" s="355"/>
      <c r="B21" s="364" t="s">
        <v>1713</v>
      </c>
      <c r="C21" s="365"/>
      <c r="D21" s="353">
        <f>SUM(D22:D22)</f>
        <v>10920</v>
      </c>
      <c r="E21" s="353">
        <f>SUM(E22:E22)</f>
        <v>10920</v>
      </c>
      <c r="F21" s="353">
        <f>SUM(F22:F22)</f>
        <v>0</v>
      </c>
      <c r="G21" s="353">
        <f>SUM(G22:G22)</f>
        <v>10920</v>
      </c>
      <c r="H21" s="353">
        <f>SUM(H22:H22)</f>
        <v>0</v>
      </c>
      <c r="I21" s="348">
        <f t="shared" si="10"/>
        <v>10920</v>
      </c>
      <c r="J21" s="353">
        <f>SUM(J22:J22)</f>
        <v>0</v>
      </c>
      <c r="K21" s="353"/>
      <c r="L21" s="353">
        <f>SUM(L22:L22)</f>
        <v>200</v>
      </c>
      <c r="M21" s="353"/>
      <c r="N21" s="349">
        <f t="shared" si="11"/>
        <v>10720</v>
      </c>
      <c r="O21" s="357">
        <f>SUM(O22:O22)</f>
        <v>539</v>
      </c>
      <c r="P21" s="349">
        <f t="shared" si="5"/>
        <v>10181</v>
      </c>
      <c r="Q21" s="354"/>
      <c r="R21" s="354"/>
    </row>
    <row r="22" spans="1:18" s="373" customFormat="1" ht="32.1" customHeight="1" x14ac:dyDescent="0.25">
      <c r="A22" s="351">
        <v>1</v>
      </c>
      <c r="B22" s="372" t="s">
        <v>1721</v>
      </c>
      <c r="C22" s="351" t="s">
        <v>1722</v>
      </c>
      <c r="D22" s="360">
        <v>10920</v>
      </c>
      <c r="E22" s="360">
        <v>10920</v>
      </c>
      <c r="F22" s="360"/>
      <c r="G22" s="360">
        <v>10920</v>
      </c>
      <c r="H22" s="360"/>
      <c r="I22" s="348">
        <f t="shared" si="10"/>
        <v>10920</v>
      </c>
      <c r="J22" s="361"/>
      <c r="K22" s="361"/>
      <c r="L22" s="361">
        <v>200</v>
      </c>
      <c r="M22" s="361"/>
      <c r="N22" s="349">
        <f t="shared" si="11"/>
        <v>10720</v>
      </c>
      <c r="O22" s="360">
        <v>539</v>
      </c>
      <c r="P22" s="349">
        <f t="shared" si="5"/>
        <v>10181</v>
      </c>
      <c r="Q22" s="361"/>
      <c r="R22" s="361"/>
    </row>
    <row r="23" spans="1:18" s="346" customFormat="1" ht="32.1" customHeight="1" x14ac:dyDescent="0.3">
      <c r="A23" s="355"/>
      <c r="B23" s="364" t="s">
        <v>1723</v>
      </c>
      <c r="C23" s="374"/>
      <c r="D23" s="353">
        <f>SUM(D24:D25)</f>
        <v>3200</v>
      </c>
      <c r="E23" s="353">
        <f>SUM(E24:E25)</f>
        <v>3200</v>
      </c>
      <c r="F23" s="353">
        <f>SUM(F24:F25)</f>
        <v>3200</v>
      </c>
      <c r="G23" s="353">
        <f>SUM(G24:G25)</f>
        <v>3200</v>
      </c>
      <c r="H23" s="353"/>
      <c r="I23" s="348">
        <f t="shared" si="10"/>
        <v>3200</v>
      </c>
      <c r="J23" s="366">
        <f t="shared" ref="J23:O23" si="12">SUM(J24:J25)</f>
        <v>0</v>
      </c>
      <c r="K23" s="366"/>
      <c r="L23" s="366">
        <f t="shared" si="12"/>
        <v>100</v>
      </c>
      <c r="M23" s="366"/>
      <c r="N23" s="349">
        <f t="shared" si="11"/>
        <v>3100</v>
      </c>
      <c r="O23" s="353">
        <f t="shared" si="12"/>
        <v>1000</v>
      </c>
      <c r="P23" s="349">
        <f t="shared" si="5"/>
        <v>2100</v>
      </c>
      <c r="Q23" s="354"/>
      <c r="R23" s="354"/>
    </row>
    <row r="24" spans="1:18" ht="32.1" customHeight="1" x14ac:dyDescent="0.3">
      <c r="A24" s="351">
        <v>1</v>
      </c>
      <c r="B24" s="375" t="s">
        <v>1724</v>
      </c>
      <c r="C24" s="376" t="s">
        <v>1722</v>
      </c>
      <c r="D24" s="360">
        <v>1600</v>
      </c>
      <c r="E24" s="360">
        <v>1600</v>
      </c>
      <c r="F24" s="360">
        <v>1600</v>
      </c>
      <c r="G24" s="360">
        <v>1600</v>
      </c>
      <c r="H24" s="360"/>
      <c r="I24" s="348">
        <f t="shared" si="10"/>
        <v>1600</v>
      </c>
      <c r="J24" s="361"/>
      <c r="K24" s="361"/>
      <c r="L24" s="361">
        <v>50</v>
      </c>
      <c r="M24" s="361"/>
      <c r="N24" s="349">
        <f t="shared" si="11"/>
        <v>1550</v>
      </c>
      <c r="O24" s="360">
        <v>500</v>
      </c>
      <c r="P24" s="349">
        <f t="shared" si="5"/>
        <v>1050</v>
      </c>
      <c r="Q24" s="363"/>
      <c r="R24" s="363"/>
    </row>
    <row r="25" spans="1:18" ht="32.1" customHeight="1" x14ac:dyDescent="0.3">
      <c r="A25" s="351">
        <v>2</v>
      </c>
      <c r="B25" s="375" t="s">
        <v>1725</v>
      </c>
      <c r="C25" s="376" t="s">
        <v>1722</v>
      </c>
      <c r="D25" s="360">
        <v>1600</v>
      </c>
      <c r="E25" s="360">
        <v>1600</v>
      </c>
      <c r="F25" s="360">
        <v>1600</v>
      </c>
      <c r="G25" s="360">
        <v>1600</v>
      </c>
      <c r="H25" s="360"/>
      <c r="I25" s="348">
        <f t="shared" si="10"/>
        <v>1600</v>
      </c>
      <c r="J25" s="361"/>
      <c r="K25" s="361"/>
      <c r="L25" s="361">
        <v>50</v>
      </c>
      <c r="M25" s="361"/>
      <c r="N25" s="349">
        <f t="shared" si="11"/>
        <v>1550</v>
      </c>
      <c r="O25" s="360">
        <v>500</v>
      </c>
      <c r="P25" s="349">
        <f t="shared" si="5"/>
        <v>1050</v>
      </c>
      <c r="Q25" s="363"/>
      <c r="R25" s="363"/>
    </row>
    <row r="26" spans="1:18" ht="27.75" customHeight="1" x14ac:dyDescent="0.3"/>
    <row r="27" spans="1:18" ht="30" customHeight="1" x14ac:dyDescent="0.3"/>
    <row r="28" spans="1:18" ht="61.15" customHeight="1" x14ac:dyDescent="0.3"/>
    <row r="29" spans="1:18" ht="29.1" customHeight="1" x14ac:dyDescent="0.3"/>
    <row r="30" spans="1:18" ht="45" customHeight="1" x14ac:dyDescent="0.3"/>
    <row r="31" spans="1:18" ht="43.15" customHeight="1" x14ac:dyDescent="0.3"/>
  </sheetData>
  <mergeCells count="15">
    <mergeCell ref="A1:R1"/>
    <mergeCell ref="A2:R2"/>
    <mergeCell ref="A3:R3"/>
    <mergeCell ref="O4:R4"/>
    <mergeCell ref="A5:A6"/>
    <mergeCell ref="B5:B6"/>
    <mergeCell ref="C5:C6"/>
    <mergeCell ref="D5:E5"/>
    <mergeCell ref="F5:F6"/>
    <mergeCell ref="G5:G6"/>
    <mergeCell ref="H5:H6"/>
    <mergeCell ref="I5:I6"/>
    <mergeCell ref="J5:P6"/>
    <mergeCell ref="Q5:Q6"/>
    <mergeCell ref="R5:R6"/>
  </mergeCells>
  <printOptions horizontalCentered="1"/>
  <pageMargins left="0.11811023622047245" right="0.11811023622047245" top="0.15748031496062992" bottom="0.15748031496062992" header="0.31496062992125984" footer="0.31496062992125984"/>
  <pageSetup paperSize="9" scale="90" orientation="landscape" verticalDpi="0" r:id="rId1"/>
  <legacy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FF0000"/>
  </sheetPr>
  <dimension ref="A1:E20"/>
  <sheetViews>
    <sheetView workbookViewId="0">
      <selection activeCell="L12" sqref="L12"/>
    </sheetView>
  </sheetViews>
  <sheetFormatPr defaultRowHeight="15" x14ac:dyDescent="0.25"/>
  <cols>
    <col min="1" max="1" width="5.7109375" customWidth="1"/>
    <col min="2" max="2" width="39.7109375" customWidth="1"/>
    <col min="3" max="5" width="12.28515625" customWidth="1"/>
  </cols>
  <sheetData>
    <row r="1" spans="1:5" ht="15.75" x14ac:dyDescent="0.25">
      <c r="E1" s="25" t="s">
        <v>687</v>
      </c>
    </row>
    <row r="2" spans="1:5" ht="15.75" x14ac:dyDescent="0.25">
      <c r="A2" s="594" t="s">
        <v>748</v>
      </c>
      <c r="B2" s="594"/>
      <c r="C2" s="594"/>
      <c r="D2" s="594"/>
      <c r="E2" s="594"/>
    </row>
    <row r="3" spans="1:5" ht="15.75" x14ac:dyDescent="0.25">
      <c r="A3" s="594" t="s">
        <v>632</v>
      </c>
      <c r="B3" s="594"/>
      <c r="C3" s="594"/>
      <c r="D3" s="594"/>
      <c r="E3" s="594"/>
    </row>
    <row r="4" spans="1:5" ht="15.75" x14ac:dyDescent="0.25">
      <c r="A4" s="594" t="s">
        <v>126</v>
      </c>
      <c r="B4" s="594"/>
      <c r="C4" s="594"/>
      <c r="D4" s="594"/>
      <c r="E4" s="594"/>
    </row>
    <row r="5" spans="1:5" ht="15.75" x14ac:dyDescent="0.25">
      <c r="E5" s="26" t="s">
        <v>56</v>
      </c>
    </row>
    <row r="6" spans="1:5" ht="48" customHeight="1" x14ac:dyDescent="0.25">
      <c r="A6" s="29" t="s">
        <v>3</v>
      </c>
      <c r="B6" s="29" t="s">
        <v>4</v>
      </c>
      <c r="C6" s="29" t="s">
        <v>618</v>
      </c>
      <c r="D6" s="29" t="s">
        <v>357</v>
      </c>
      <c r="E6" s="29" t="s">
        <v>374</v>
      </c>
    </row>
    <row r="7" spans="1:5" ht="15.75" x14ac:dyDescent="0.25">
      <c r="A7" s="28" t="s">
        <v>15</v>
      </c>
      <c r="B7" s="28" t="s">
        <v>16</v>
      </c>
      <c r="C7" s="28">
        <v>1</v>
      </c>
      <c r="D7" s="28">
        <v>2</v>
      </c>
      <c r="E7" s="28" t="s">
        <v>269</v>
      </c>
    </row>
    <row r="8" spans="1:5" ht="15.75" x14ac:dyDescent="0.25">
      <c r="A8" s="29"/>
      <c r="B8" s="30" t="s">
        <v>133</v>
      </c>
      <c r="C8" s="28"/>
      <c r="D8" s="28"/>
      <c r="E8" s="28"/>
    </row>
    <row r="9" spans="1:5" ht="21.75" customHeight="1" x14ac:dyDescent="0.25">
      <c r="A9" s="28">
        <v>1</v>
      </c>
      <c r="B9" s="31" t="s">
        <v>633</v>
      </c>
      <c r="C9" s="28"/>
      <c r="D9" s="28"/>
      <c r="E9" s="28"/>
    </row>
    <row r="10" spans="1:5" ht="21.75" customHeight="1" x14ac:dyDescent="0.25">
      <c r="A10" s="28" t="s">
        <v>22</v>
      </c>
      <c r="B10" s="32" t="s">
        <v>634</v>
      </c>
      <c r="C10" s="28"/>
      <c r="D10" s="28"/>
      <c r="E10" s="28"/>
    </row>
    <row r="11" spans="1:5" ht="21.75" customHeight="1" x14ac:dyDescent="0.25">
      <c r="A11" s="28" t="s">
        <v>22</v>
      </c>
      <c r="B11" s="32" t="s">
        <v>635</v>
      </c>
      <c r="C11" s="28"/>
      <c r="D11" s="28"/>
      <c r="E11" s="28"/>
    </row>
    <row r="12" spans="1:5" ht="21.75" customHeight="1" x14ac:dyDescent="0.25">
      <c r="A12" s="28">
        <v>2</v>
      </c>
      <c r="B12" s="31" t="s">
        <v>636</v>
      </c>
      <c r="C12" s="28"/>
      <c r="D12" s="28"/>
      <c r="E12" s="28"/>
    </row>
    <row r="13" spans="1:5" ht="21.75" customHeight="1" x14ac:dyDescent="0.25">
      <c r="A13" s="28">
        <v>3</v>
      </c>
      <c r="B13" s="31" t="s">
        <v>637</v>
      </c>
      <c r="C13" s="28"/>
      <c r="D13" s="28"/>
      <c r="E13" s="28"/>
    </row>
    <row r="14" spans="1:5" ht="21.75" customHeight="1" x14ac:dyDescent="0.25">
      <c r="A14" s="28">
        <v>4</v>
      </c>
      <c r="B14" s="31" t="s">
        <v>638</v>
      </c>
      <c r="C14" s="28"/>
      <c r="D14" s="28"/>
      <c r="E14" s="28"/>
    </row>
    <row r="15" spans="1:5" ht="21.75" customHeight="1" x14ac:dyDescent="0.25">
      <c r="A15" s="28">
        <v>5</v>
      </c>
      <c r="B15" s="31" t="s">
        <v>639</v>
      </c>
      <c r="C15" s="28"/>
      <c r="D15" s="28"/>
      <c r="E15" s="28"/>
    </row>
    <row r="16" spans="1:5" ht="21.75" customHeight="1" x14ac:dyDescent="0.25">
      <c r="A16" s="28">
        <v>6</v>
      </c>
      <c r="B16" s="31" t="s">
        <v>640</v>
      </c>
      <c r="C16" s="28"/>
      <c r="D16" s="28"/>
      <c r="E16" s="28"/>
    </row>
    <row r="17" spans="1:5" ht="21.75" customHeight="1" x14ac:dyDescent="0.25">
      <c r="A17" s="28">
        <v>7</v>
      </c>
      <c r="B17" s="31" t="s">
        <v>641</v>
      </c>
      <c r="C17" s="28"/>
      <c r="D17" s="28"/>
      <c r="E17" s="28"/>
    </row>
    <row r="18" spans="1:5" ht="21.75" customHeight="1" x14ac:dyDescent="0.25">
      <c r="A18" s="28">
        <v>8</v>
      </c>
      <c r="B18" s="31"/>
      <c r="C18" s="28"/>
      <c r="D18" s="28"/>
      <c r="E18" s="28"/>
    </row>
    <row r="19" spans="1:5" ht="21.75" customHeight="1" x14ac:dyDescent="0.25">
      <c r="A19" s="28">
        <v>9</v>
      </c>
      <c r="B19" s="31"/>
      <c r="C19" s="28"/>
      <c r="D19" s="28"/>
      <c r="E19" s="28"/>
    </row>
    <row r="20" spans="1:5" ht="21.75" customHeight="1" x14ac:dyDescent="0.25">
      <c r="A20" s="28">
        <v>10</v>
      </c>
      <c r="B20" s="31"/>
      <c r="C20" s="28"/>
      <c r="D20" s="28"/>
      <c r="E20" s="28"/>
    </row>
  </sheetData>
  <mergeCells count="3">
    <mergeCell ref="A2:E2"/>
    <mergeCell ref="A3:E3"/>
    <mergeCell ref="A4:E4"/>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Y40"/>
  <sheetViews>
    <sheetView topLeftCell="A18" workbookViewId="0">
      <selection activeCell="I26" sqref="I26"/>
    </sheetView>
  </sheetViews>
  <sheetFormatPr defaultColWidth="8.7109375" defaultRowHeight="15.75" x14ac:dyDescent="0.25"/>
  <cols>
    <col min="1" max="1" width="6.42578125" style="146" customWidth="1"/>
    <col min="2" max="2" width="61.42578125" style="115" customWidth="1"/>
    <col min="3" max="3" width="15.42578125" style="115" hidden="1" customWidth="1"/>
    <col min="4" max="4" width="10.7109375" style="115" hidden="1" customWidth="1"/>
    <col min="5" max="5" width="7.7109375" style="115" hidden="1" customWidth="1"/>
    <col min="6" max="6" width="14.42578125" style="115" customWidth="1"/>
    <col min="7" max="7" width="14.7109375" style="115" customWidth="1"/>
    <col min="8" max="8" width="15.28515625" style="115" customWidth="1"/>
    <col min="9" max="9" width="13.5703125" style="115" customWidth="1"/>
    <col min="10" max="10" width="11" style="124" hidden="1" customWidth="1"/>
    <col min="11" max="11" width="13" style="115" hidden="1" customWidth="1"/>
    <col min="12" max="12" width="13" style="124" hidden="1" customWidth="1"/>
    <col min="13" max="13" width="11.42578125" style="115" hidden="1" customWidth="1"/>
    <col min="14" max="15" width="12.28515625" style="115" customWidth="1"/>
    <col min="16" max="16" width="10" style="115" hidden="1" customWidth="1"/>
    <col min="17" max="17" width="8.7109375" style="115" hidden="1" customWidth="1"/>
    <col min="18" max="18" width="12" style="115" customWidth="1"/>
    <col min="19" max="19" width="12.42578125" style="115" customWidth="1"/>
    <col min="20" max="20" width="11.5703125" style="115" customWidth="1"/>
    <col min="21" max="21" width="11.7109375" style="115" customWidth="1"/>
    <col min="22" max="22" width="26" style="147" hidden="1" customWidth="1"/>
    <col min="23" max="23" width="12.28515625" style="115" bestFit="1" customWidth="1"/>
    <col min="24" max="24" width="13.5703125" style="115" bestFit="1" customWidth="1"/>
    <col min="25" max="25" width="13.7109375" style="115" bestFit="1" customWidth="1"/>
    <col min="26" max="28" width="9.28515625" style="115" bestFit="1" customWidth="1"/>
    <col min="29" max="34" width="8.7109375" style="115"/>
    <col min="35" max="36" width="9.28515625" style="115" bestFit="1" customWidth="1"/>
    <col min="37" max="16384" width="8.7109375" style="115"/>
  </cols>
  <sheetData>
    <row r="1" spans="1:25" ht="22.5" customHeight="1" x14ac:dyDescent="0.25">
      <c r="A1" s="712" t="s">
        <v>1224</v>
      </c>
      <c r="B1" s="712"/>
      <c r="C1" s="712"/>
      <c r="D1" s="712"/>
      <c r="E1" s="712"/>
      <c r="F1" s="712"/>
      <c r="G1" s="712"/>
      <c r="H1" s="712"/>
      <c r="I1" s="712"/>
      <c r="J1" s="712"/>
      <c r="K1" s="712"/>
      <c r="L1" s="712"/>
      <c r="M1" s="712"/>
      <c r="N1" s="712"/>
      <c r="O1" s="712"/>
      <c r="P1" s="712"/>
      <c r="Q1" s="712"/>
      <c r="R1" s="712"/>
      <c r="S1" s="712"/>
      <c r="T1" s="712"/>
      <c r="U1" s="712"/>
      <c r="V1" s="712"/>
    </row>
    <row r="2" spans="1:25" ht="24.75" customHeight="1" x14ac:dyDescent="0.25">
      <c r="A2" s="712" t="s">
        <v>1225</v>
      </c>
      <c r="B2" s="712"/>
      <c r="C2" s="712"/>
      <c r="D2" s="712"/>
      <c r="E2" s="712"/>
      <c r="F2" s="712"/>
      <c r="G2" s="712"/>
      <c r="H2" s="712"/>
      <c r="I2" s="712"/>
      <c r="J2" s="712"/>
      <c r="K2" s="712"/>
      <c r="L2" s="712"/>
      <c r="M2" s="712"/>
      <c r="N2" s="712"/>
      <c r="O2" s="712"/>
      <c r="P2" s="712"/>
      <c r="Q2" s="712"/>
      <c r="R2" s="712"/>
      <c r="S2" s="712"/>
      <c r="T2" s="712"/>
      <c r="U2" s="712"/>
      <c r="V2" s="712"/>
    </row>
    <row r="3" spans="1:25" ht="19.5" customHeight="1" x14ac:dyDescent="0.25">
      <c r="A3" s="712" t="s">
        <v>1226</v>
      </c>
      <c r="B3" s="712"/>
      <c r="C3" s="712"/>
      <c r="D3" s="712"/>
      <c r="E3" s="712"/>
      <c r="F3" s="712"/>
      <c r="G3" s="712"/>
      <c r="H3" s="712"/>
      <c r="I3" s="712"/>
      <c r="J3" s="712"/>
      <c r="K3" s="712"/>
      <c r="L3" s="712"/>
      <c r="M3" s="712"/>
      <c r="N3" s="712"/>
      <c r="O3" s="712"/>
      <c r="P3" s="712"/>
      <c r="Q3" s="712"/>
      <c r="R3" s="712"/>
      <c r="S3" s="712"/>
      <c r="T3" s="712"/>
      <c r="U3" s="712"/>
      <c r="V3" s="712"/>
    </row>
    <row r="4" spans="1:25" ht="19.5" customHeight="1" x14ac:dyDescent="0.25">
      <c r="A4" s="713" t="s">
        <v>1227</v>
      </c>
      <c r="B4" s="713"/>
      <c r="C4" s="713"/>
      <c r="D4" s="713"/>
      <c r="E4" s="713"/>
      <c r="F4" s="713"/>
      <c r="G4" s="713"/>
      <c r="H4" s="713"/>
      <c r="I4" s="713"/>
      <c r="J4" s="713"/>
      <c r="K4" s="713"/>
      <c r="L4" s="713"/>
      <c r="M4" s="713"/>
      <c r="N4" s="713"/>
      <c r="O4" s="713"/>
      <c r="P4" s="713"/>
      <c r="Q4" s="713"/>
      <c r="R4" s="713"/>
      <c r="S4" s="713"/>
      <c r="T4" s="713"/>
      <c r="U4" s="713"/>
      <c r="V4" s="116"/>
    </row>
    <row r="5" spans="1:25" x14ac:dyDescent="0.25">
      <c r="A5" s="714" t="s">
        <v>56</v>
      </c>
      <c r="B5" s="714"/>
      <c r="C5" s="714"/>
      <c r="D5" s="714"/>
      <c r="E5" s="714"/>
      <c r="F5" s="714"/>
      <c r="G5" s="714"/>
      <c r="H5" s="714"/>
      <c r="I5" s="714"/>
      <c r="J5" s="714"/>
      <c r="K5" s="714"/>
      <c r="L5" s="714"/>
      <c r="M5" s="714"/>
      <c r="N5" s="714"/>
      <c r="O5" s="714"/>
      <c r="P5" s="714"/>
      <c r="Q5" s="714"/>
      <c r="R5" s="714"/>
      <c r="S5" s="714"/>
      <c r="T5" s="714"/>
      <c r="U5" s="714"/>
      <c r="V5" s="714"/>
    </row>
    <row r="6" spans="1:25" s="117" customFormat="1" x14ac:dyDescent="0.25">
      <c r="A6" s="715" t="s">
        <v>1228</v>
      </c>
      <c r="B6" s="715" t="s">
        <v>180</v>
      </c>
      <c r="C6" s="715" t="s">
        <v>1034</v>
      </c>
      <c r="D6" s="715" t="s">
        <v>1229</v>
      </c>
      <c r="E6" s="715" t="s">
        <v>1230</v>
      </c>
      <c r="F6" s="715" t="s">
        <v>1231</v>
      </c>
      <c r="G6" s="715" t="s">
        <v>1232</v>
      </c>
      <c r="H6" s="715"/>
      <c r="I6" s="715"/>
      <c r="J6" s="715" t="s">
        <v>1233</v>
      </c>
      <c r="K6" s="715"/>
      <c r="L6" s="715" t="s">
        <v>1234</v>
      </c>
      <c r="M6" s="715"/>
      <c r="N6" s="715" t="s">
        <v>1235</v>
      </c>
      <c r="O6" s="715"/>
      <c r="P6" s="715" t="s">
        <v>1236</v>
      </c>
      <c r="Q6" s="715"/>
      <c r="R6" s="715" t="s">
        <v>1237</v>
      </c>
      <c r="S6" s="715"/>
      <c r="T6" s="715" t="s">
        <v>129</v>
      </c>
      <c r="U6" s="715"/>
      <c r="V6" s="715" t="s">
        <v>1238</v>
      </c>
    </row>
    <row r="7" spans="1:25" s="117" customFormat="1" x14ac:dyDescent="0.25">
      <c r="A7" s="715"/>
      <c r="B7" s="715"/>
      <c r="C7" s="715"/>
      <c r="D7" s="715"/>
      <c r="E7" s="715"/>
      <c r="F7" s="715"/>
      <c r="G7" s="715"/>
      <c r="H7" s="715"/>
      <c r="I7" s="715"/>
      <c r="J7" s="715"/>
      <c r="K7" s="715"/>
      <c r="L7" s="715"/>
      <c r="M7" s="715"/>
      <c r="N7" s="715"/>
      <c r="O7" s="715"/>
      <c r="P7" s="715"/>
      <c r="Q7" s="715"/>
      <c r="R7" s="715"/>
      <c r="S7" s="715"/>
      <c r="T7" s="715"/>
      <c r="U7" s="715"/>
      <c r="V7" s="715"/>
    </row>
    <row r="8" spans="1:25" s="117" customFormat="1" x14ac:dyDescent="0.25">
      <c r="A8" s="715"/>
      <c r="B8" s="715"/>
      <c r="C8" s="715"/>
      <c r="D8" s="715"/>
      <c r="E8" s="715"/>
      <c r="F8" s="715"/>
      <c r="G8" s="715"/>
      <c r="H8" s="715"/>
      <c r="I8" s="715"/>
      <c r="J8" s="715"/>
      <c r="K8" s="715"/>
      <c r="L8" s="715"/>
      <c r="M8" s="715"/>
      <c r="N8" s="715"/>
      <c r="O8" s="715"/>
      <c r="P8" s="715"/>
      <c r="Q8" s="715"/>
      <c r="R8" s="715"/>
      <c r="S8" s="715"/>
      <c r="T8" s="715"/>
      <c r="U8" s="715"/>
      <c r="V8" s="715"/>
    </row>
    <row r="9" spans="1:25" s="117" customFormat="1" x14ac:dyDescent="0.25">
      <c r="A9" s="715"/>
      <c r="B9" s="715"/>
      <c r="C9" s="715"/>
      <c r="D9" s="715"/>
      <c r="E9" s="715"/>
      <c r="F9" s="715"/>
      <c r="G9" s="715" t="s">
        <v>1239</v>
      </c>
      <c r="H9" s="715" t="s">
        <v>1037</v>
      </c>
      <c r="I9" s="715" t="s">
        <v>1240</v>
      </c>
      <c r="J9" s="715" t="s">
        <v>130</v>
      </c>
      <c r="K9" s="715" t="s">
        <v>1241</v>
      </c>
      <c r="L9" s="715" t="s">
        <v>130</v>
      </c>
      <c r="M9" s="715" t="s">
        <v>1241</v>
      </c>
      <c r="N9" s="715" t="s">
        <v>130</v>
      </c>
      <c r="O9" s="715" t="s">
        <v>1240</v>
      </c>
      <c r="P9" s="715" t="s">
        <v>1242</v>
      </c>
      <c r="Q9" s="715" t="s">
        <v>1243</v>
      </c>
      <c r="R9" s="715" t="s">
        <v>130</v>
      </c>
      <c r="S9" s="715" t="s">
        <v>1240</v>
      </c>
      <c r="T9" s="715" t="s">
        <v>1242</v>
      </c>
      <c r="U9" s="715" t="s">
        <v>1243</v>
      </c>
      <c r="V9" s="715"/>
    </row>
    <row r="10" spans="1:25" s="117" customFormat="1" x14ac:dyDescent="0.25">
      <c r="A10" s="715"/>
      <c r="B10" s="715"/>
      <c r="C10" s="715"/>
      <c r="D10" s="715"/>
      <c r="E10" s="715"/>
      <c r="F10" s="715"/>
      <c r="G10" s="715"/>
      <c r="H10" s="715"/>
      <c r="I10" s="715"/>
      <c r="J10" s="715"/>
      <c r="K10" s="715"/>
      <c r="L10" s="715"/>
      <c r="M10" s="715"/>
      <c r="N10" s="715"/>
      <c r="O10" s="715"/>
      <c r="P10" s="715"/>
      <c r="Q10" s="715"/>
      <c r="R10" s="715"/>
      <c r="S10" s="715"/>
      <c r="T10" s="715"/>
      <c r="U10" s="715"/>
      <c r="V10" s="715"/>
    </row>
    <row r="11" spans="1:25" s="117" customFormat="1" x14ac:dyDescent="0.25">
      <c r="A11" s="715"/>
      <c r="B11" s="715"/>
      <c r="C11" s="715"/>
      <c r="D11" s="715"/>
      <c r="E11" s="715"/>
      <c r="F11" s="715"/>
      <c r="G11" s="715"/>
      <c r="H11" s="715"/>
      <c r="I11" s="715"/>
      <c r="J11" s="715"/>
      <c r="K11" s="715"/>
      <c r="L11" s="715"/>
      <c r="M11" s="715"/>
      <c r="N11" s="715"/>
      <c r="O11" s="715"/>
      <c r="P11" s="715"/>
      <c r="Q11" s="715"/>
      <c r="R11" s="715"/>
      <c r="S11" s="715"/>
      <c r="T11" s="715"/>
      <c r="U11" s="715"/>
      <c r="V11" s="715"/>
    </row>
    <row r="12" spans="1:25" s="117" customFormat="1" x14ac:dyDescent="0.25">
      <c r="A12" s="715"/>
      <c r="B12" s="715"/>
      <c r="C12" s="715"/>
      <c r="D12" s="715"/>
      <c r="E12" s="715"/>
      <c r="F12" s="715"/>
      <c r="G12" s="715"/>
      <c r="H12" s="715"/>
      <c r="I12" s="715"/>
      <c r="J12" s="715"/>
      <c r="K12" s="715"/>
      <c r="L12" s="715"/>
      <c r="M12" s="715"/>
      <c r="N12" s="715"/>
      <c r="O12" s="715"/>
      <c r="P12" s="715"/>
      <c r="Q12" s="715"/>
      <c r="R12" s="715"/>
      <c r="S12" s="715"/>
      <c r="T12" s="715"/>
      <c r="U12" s="715"/>
      <c r="V12" s="715"/>
    </row>
    <row r="13" spans="1:25" hidden="1" x14ac:dyDescent="0.25">
      <c r="A13" s="118">
        <v>1</v>
      </c>
      <c r="B13" s="118">
        <v>2</v>
      </c>
      <c r="C13" s="118">
        <v>3</v>
      </c>
      <c r="D13" s="118">
        <f t="shared" ref="D13:U13" si="0">C13+1</f>
        <v>4</v>
      </c>
      <c r="E13" s="118">
        <f t="shared" si="0"/>
        <v>5</v>
      </c>
      <c r="F13" s="118">
        <f t="shared" si="0"/>
        <v>6</v>
      </c>
      <c r="G13" s="118">
        <f t="shared" si="0"/>
        <v>7</v>
      </c>
      <c r="H13" s="118">
        <f t="shared" si="0"/>
        <v>8</v>
      </c>
      <c r="I13" s="118">
        <f t="shared" si="0"/>
        <v>9</v>
      </c>
      <c r="J13" s="118">
        <f t="shared" si="0"/>
        <v>10</v>
      </c>
      <c r="K13" s="118">
        <f t="shared" si="0"/>
        <v>11</v>
      </c>
      <c r="L13" s="118">
        <f t="shared" si="0"/>
        <v>12</v>
      </c>
      <c r="M13" s="118">
        <f t="shared" si="0"/>
        <v>13</v>
      </c>
      <c r="N13" s="118">
        <f t="shared" si="0"/>
        <v>14</v>
      </c>
      <c r="O13" s="118">
        <f t="shared" si="0"/>
        <v>15</v>
      </c>
      <c r="P13" s="118">
        <f t="shared" si="0"/>
        <v>16</v>
      </c>
      <c r="Q13" s="118">
        <f t="shared" si="0"/>
        <v>17</v>
      </c>
      <c r="R13" s="118">
        <f t="shared" si="0"/>
        <v>18</v>
      </c>
      <c r="S13" s="118">
        <f t="shared" si="0"/>
        <v>19</v>
      </c>
      <c r="T13" s="118">
        <f t="shared" si="0"/>
        <v>20</v>
      </c>
      <c r="U13" s="118">
        <f t="shared" si="0"/>
        <v>21</v>
      </c>
      <c r="V13" s="118"/>
    </row>
    <row r="14" spans="1:25" hidden="1" x14ac:dyDescent="0.25">
      <c r="A14" s="118"/>
      <c r="B14" s="118"/>
      <c r="C14" s="118"/>
      <c r="D14" s="118"/>
      <c r="E14" s="118"/>
      <c r="F14" s="118"/>
      <c r="G14" s="118"/>
      <c r="H14" s="118"/>
      <c r="I14" s="118"/>
      <c r="J14" s="118"/>
      <c r="K14" s="118"/>
      <c r="L14" s="118"/>
      <c r="M14" s="118"/>
      <c r="N14" s="118"/>
      <c r="O14" s="118"/>
      <c r="P14" s="118"/>
      <c r="Q14" s="118"/>
      <c r="R14" s="118"/>
      <c r="S14" s="118"/>
      <c r="T14" s="118"/>
      <c r="U14" s="118"/>
      <c r="V14" s="118"/>
    </row>
    <row r="15" spans="1:25" x14ac:dyDescent="0.25">
      <c r="A15" s="119"/>
      <c r="B15" s="119" t="s">
        <v>1244</v>
      </c>
      <c r="C15" s="120"/>
      <c r="D15" s="121"/>
      <c r="E15" s="122"/>
      <c r="F15" s="119"/>
      <c r="G15" s="122"/>
      <c r="H15" s="123">
        <f>SUM(H16:H40)</f>
        <v>28636</v>
      </c>
      <c r="I15" s="123">
        <f t="shared" ref="I15:U15" si="1">SUM(I16:I40)</f>
        <v>19675</v>
      </c>
      <c r="J15" s="123">
        <f t="shared" si="1"/>
        <v>0</v>
      </c>
      <c r="K15" s="123">
        <f t="shared" si="1"/>
        <v>0</v>
      </c>
      <c r="L15" s="123">
        <f t="shared" si="1"/>
        <v>0</v>
      </c>
      <c r="M15" s="123">
        <f t="shared" si="1"/>
        <v>0</v>
      </c>
      <c r="N15" s="123">
        <f t="shared" si="1"/>
        <v>0</v>
      </c>
      <c r="O15" s="123">
        <f t="shared" si="1"/>
        <v>0</v>
      </c>
      <c r="P15" s="123">
        <f t="shared" si="1"/>
        <v>19423</v>
      </c>
      <c r="Q15" s="123">
        <f t="shared" si="1"/>
        <v>0</v>
      </c>
      <c r="R15" s="123">
        <f t="shared" si="1"/>
        <v>19423</v>
      </c>
      <c r="S15" s="123">
        <f t="shared" si="1"/>
        <v>19423</v>
      </c>
      <c r="T15" s="123">
        <f>SUM(T16:T40)</f>
        <v>19423</v>
      </c>
      <c r="U15" s="123">
        <f t="shared" si="1"/>
        <v>0</v>
      </c>
      <c r="V15" s="118"/>
      <c r="W15" s="124"/>
      <c r="X15" s="124"/>
      <c r="Y15" s="124"/>
    </row>
    <row r="16" spans="1:25" ht="63" x14ac:dyDescent="0.25">
      <c r="A16" s="125" t="s">
        <v>1042</v>
      </c>
      <c r="B16" s="113" t="s">
        <v>1084</v>
      </c>
      <c r="C16" s="126"/>
      <c r="D16" s="127"/>
      <c r="E16" s="127"/>
      <c r="F16" s="128" t="s">
        <v>1055</v>
      </c>
      <c r="G16" s="128" t="s">
        <v>1245</v>
      </c>
      <c r="H16" s="129">
        <v>4200</v>
      </c>
      <c r="I16" s="129">
        <v>4200</v>
      </c>
      <c r="J16" s="118"/>
      <c r="K16" s="118"/>
      <c r="L16" s="118"/>
      <c r="M16" s="118"/>
      <c r="N16" s="118"/>
      <c r="O16" s="118"/>
      <c r="P16" s="130">
        <v>4200</v>
      </c>
      <c r="Q16" s="118"/>
      <c r="R16" s="130">
        <v>4200</v>
      </c>
      <c r="S16" s="130">
        <v>4200</v>
      </c>
      <c r="T16" s="130">
        <v>4200</v>
      </c>
      <c r="U16" s="118"/>
      <c r="V16" s="125" t="s">
        <v>1246</v>
      </c>
      <c r="W16" s="124"/>
      <c r="X16" s="124"/>
      <c r="Y16" s="124"/>
    </row>
    <row r="17" spans="1:25" s="117" customFormat="1" ht="47.25" x14ac:dyDescent="0.25">
      <c r="A17" s="131">
        <v>1</v>
      </c>
      <c r="B17" s="132" t="s">
        <v>1056</v>
      </c>
      <c r="C17" s="133"/>
      <c r="D17" s="125"/>
      <c r="E17" s="125"/>
      <c r="F17" s="128" t="s">
        <v>1055</v>
      </c>
      <c r="G17" s="134" t="s">
        <v>1057</v>
      </c>
      <c r="H17" s="135">
        <v>500</v>
      </c>
      <c r="I17" s="135">
        <v>500</v>
      </c>
      <c r="J17" s="118"/>
      <c r="K17" s="118"/>
      <c r="L17" s="118"/>
      <c r="M17" s="118"/>
      <c r="N17" s="136"/>
      <c r="O17" s="136"/>
      <c r="P17" s="135">
        <v>500</v>
      </c>
      <c r="Q17" s="118"/>
      <c r="R17" s="135">
        <v>500</v>
      </c>
      <c r="S17" s="135">
        <v>500</v>
      </c>
      <c r="T17" s="135">
        <v>500</v>
      </c>
      <c r="U17" s="118"/>
      <c r="V17" s="119"/>
      <c r="W17" s="137"/>
      <c r="X17" s="137"/>
      <c r="Y17" s="137"/>
    </row>
    <row r="18" spans="1:25" s="117" customFormat="1" ht="47.25" x14ac:dyDescent="0.25">
      <c r="A18" s="131">
        <v>2</v>
      </c>
      <c r="B18" s="132" t="s">
        <v>1247</v>
      </c>
      <c r="C18" s="133"/>
      <c r="D18" s="125"/>
      <c r="E18" s="125"/>
      <c r="F18" s="128" t="s">
        <v>1055</v>
      </c>
      <c r="G18" s="134" t="s">
        <v>1058</v>
      </c>
      <c r="H18" s="135">
        <v>250</v>
      </c>
      <c r="I18" s="135">
        <v>250</v>
      </c>
      <c r="J18" s="118"/>
      <c r="K18" s="118"/>
      <c r="L18" s="118"/>
      <c r="M18" s="118"/>
      <c r="N18" s="136"/>
      <c r="O18" s="136"/>
      <c r="P18" s="135">
        <v>250</v>
      </c>
      <c r="Q18" s="118"/>
      <c r="R18" s="135">
        <v>250</v>
      </c>
      <c r="S18" s="135">
        <v>250</v>
      </c>
      <c r="T18" s="135">
        <v>250</v>
      </c>
      <c r="U18" s="118"/>
      <c r="V18" s="119"/>
      <c r="W18" s="137"/>
      <c r="X18" s="137"/>
      <c r="Y18" s="137"/>
    </row>
    <row r="19" spans="1:25" s="117" customFormat="1" ht="47.25" x14ac:dyDescent="0.25">
      <c r="A19" s="131">
        <v>3</v>
      </c>
      <c r="B19" s="132" t="s">
        <v>1059</v>
      </c>
      <c r="C19" s="133"/>
      <c r="D19" s="125"/>
      <c r="E19" s="125"/>
      <c r="F19" s="128" t="s">
        <v>1055</v>
      </c>
      <c r="G19" s="134" t="s">
        <v>1060</v>
      </c>
      <c r="H19" s="135">
        <v>500</v>
      </c>
      <c r="I19" s="135">
        <v>500</v>
      </c>
      <c r="J19" s="118"/>
      <c r="K19" s="118"/>
      <c r="L19" s="118"/>
      <c r="M19" s="118"/>
      <c r="N19" s="136"/>
      <c r="O19" s="136"/>
      <c r="P19" s="135">
        <v>500</v>
      </c>
      <c r="Q19" s="118"/>
      <c r="R19" s="135">
        <v>500</v>
      </c>
      <c r="S19" s="135">
        <v>500</v>
      </c>
      <c r="T19" s="135">
        <v>500</v>
      </c>
      <c r="U19" s="118"/>
      <c r="V19" s="119"/>
      <c r="W19" s="137"/>
      <c r="X19" s="137"/>
      <c r="Y19" s="137"/>
    </row>
    <row r="20" spans="1:25" s="117" customFormat="1" ht="47.25" x14ac:dyDescent="0.25">
      <c r="A20" s="131">
        <v>4</v>
      </c>
      <c r="B20" s="135" t="s">
        <v>1061</v>
      </c>
      <c r="C20" s="133"/>
      <c r="D20" s="125"/>
      <c r="E20" s="125"/>
      <c r="F20" s="128" t="s">
        <v>1055</v>
      </c>
      <c r="G20" s="134" t="s">
        <v>1062</v>
      </c>
      <c r="H20" s="135">
        <v>300</v>
      </c>
      <c r="I20" s="135">
        <v>300</v>
      </c>
      <c r="J20" s="118"/>
      <c r="K20" s="118"/>
      <c r="L20" s="118"/>
      <c r="M20" s="118"/>
      <c r="N20" s="136"/>
      <c r="O20" s="136"/>
      <c r="P20" s="135">
        <v>300</v>
      </c>
      <c r="Q20" s="118"/>
      <c r="R20" s="135">
        <v>300</v>
      </c>
      <c r="S20" s="135">
        <v>300</v>
      </c>
      <c r="T20" s="135">
        <v>300</v>
      </c>
      <c r="U20" s="118"/>
      <c r="V20" s="119"/>
      <c r="W20" s="137"/>
      <c r="X20" s="137"/>
      <c r="Y20" s="137"/>
    </row>
    <row r="21" spans="1:25" s="117" customFormat="1" ht="47.25" x14ac:dyDescent="0.25">
      <c r="A21" s="131">
        <v>5</v>
      </c>
      <c r="B21" s="135" t="s">
        <v>1063</v>
      </c>
      <c r="C21" s="133"/>
      <c r="D21" s="125"/>
      <c r="E21" s="125"/>
      <c r="F21" s="128" t="s">
        <v>1055</v>
      </c>
      <c r="G21" s="134" t="s">
        <v>1064</v>
      </c>
      <c r="H21" s="135">
        <v>400</v>
      </c>
      <c r="I21" s="135">
        <v>400</v>
      </c>
      <c r="J21" s="118"/>
      <c r="K21" s="118"/>
      <c r="L21" s="118"/>
      <c r="M21" s="118"/>
      <c r="N21" s="136"/>
      <c r="O21" s="136"/>
      <c r="P21" s="135">
        <v>400</v>
      </c>
      <c r="Q21" s="118"/>
      <c r="R21" s="135">
        <v>400</v>
      </c>
      <c r="S21" s="135">
        <v>400</v>
      </c>
      <c r="T21" s="135">
        <v>400</v>
      </c>
      <c r="U21" s="118"/>
      <c r="V21" s="119"/>
      <c r="W21" s="137"/>
      <c r="X21" s="137"/>
      <c r="Y21" s="137"/>
    </row>
    <row r="22" spans="1:25" s="117" customFormat="1" ht="47.25" x14ac:dyDescent="0.25">
      <c r="A22" s="131">
        <v>6</v>
      </c>
      <c r="B22" s="135" t="s">
        <v>1065</v>
      </c>
      <c r="C22" s="133"/>
      <c r="D22" s="125"/>
      <c r="E22" s="125"/>
      <c r="F22" s="128" t="s">
        <v>1055</v>
      </c>
      <c r="G22" s="134" t="s">
        <v>1066</v>
      </c>
      <c r="H22" s="135">
        <v>400</v>
      </c>
      <c r="I22" s="135">
        <v>400</v>
      </c>
      <c r="J22" s="118"/>
      <c r="K22" s="118"/>
      <c r="L22" s="118"/>
      <c r="M22" s="118"/>
      <c r="N22" s="136"/>
      <c r="O22" s="136"/>
      <c r="P22" s="135">
        <v>400</v>
      </c>
      <c r="Q22" s="118"/>
      <c r="R22" s="135">
        <v>400</v>
      </c>
      <c r="S22" s="135">
        <v>400</v>
      </c>
      <c r="T22" s="135">
        <v>400</v>
      </c>
      <c r="U22" s="118"/>
      <c r="V22" s="119"/>
      <c r="W22" s="137"/>
      <c r="X22" s="137"/>
      <c r="Y22" s="137"/>
    </row>
    <row r="23" spans="1:25" s="117" customFormat="1" ht="47.25" x14ac:dyDescent="0.25">
      <c r="A23" s="131">
        <v>7</v>
      </c>
      <c r="B23" s="135" t="s">
        <v>1067</v>
      </c>
      <c r="C23" s="133"/>
      <c r="D23" s="125"/>
      <c r="E23" s="125"/>
      <c r="F23" s="128" t="s">
        <v>1055</v>
      </c>
      <c r="G23" s="134" t="s">
        <v>1068</v>
      </c>
      <c r="H23" s="135">
        <v>600</v>
      </c>
      <c r="I23" s="135">
        <v>600</v>
      </c>
      <c r="J23" s="118"/>
      <c r="K23" s="118"/>
      <c r="L23" s="118"/>
      <c r="M23" s="118"/>
      <c r="N23" s="136"/>
      <c r="O23" s="136"/>
      <c r="P23" s="135">
        <v>600</v>
      </c>
      <c r="Q23" s="118"/>
      <c r="R23" s="135">
        <v>600</v>
      </c>
      <c r="S23" s="135">
        <v>600</v>
      </c>
      <c r="T23" s="135">
        <v>600</v>
      </c>
      <c r="U23" s="118"/>
      <c r="V23" s="119"/>
      <c r="W23" s="137"/>
      <c r="X23" s="137"/>
      <c r="Y23" s="137"/>
    </row>
    <row r="24" spans="1:25" s="117" customFormat="1" ht="47.25" x14ac:dyDescent="0.25">
      <c r="A24" s="131">
        <v>8</v>
      </c>
      <c r="B24" s="135" t="s">
        <v>1069</v>
      </c>
      <c r="C24" s="133"/>
      <c r="D24" s="125"/>
      <c r="E24" s="125"/>
      <c r="F24" s="128" t="s">
        <v>1055</v>
      </c>
      <c r="G24" s="134" t="s">
        <v>1070</v>
      </c>
      <c r="H24" s="135">
        <v>600</v>
      </c>
      <c r="I24" s="135">
        <v>600</v>
      </c>
      <c r="J24" s="118"/>
      <c r="K24" s="118"/>
      <c r="L24" s="118"/>
      <c r="M24" s="118"/>
      <c r="N24" s="136"/>
      <c r="O24" s="136"/>
      <c r="P24" s="135">
        <v>600</v>
      </c>
      <c r="Q24" s="118"/>
      <c r="R24" s="135">
        <v>600</v>
      </c>
      <c r="S24" s="135">
        <v>600</v>
      </c>
      <c r="T24" s="135">
        <v>600</v>
      </c>
      <c r="U24" s="118"/>
      <c r="V24" s="119"/>
      <c r="W24" s="137"/>
      <c r="X24" s="137"/>
      <c r="Y24" s="137"/>
    </row>
    <row r="25" spans="1:25" s="117" customFormat="1" ht="47.25" x14ac:dyDescent="0.25">
      <c r="A25" s="131">
        <v>9</v>
      </c>
      <c r="B25" s="135" t="s">
        <v>1071</v>
      </c>
      <c r="C25" s="133"/>
      <c r="D25" s="125"/>
      <c r="E25" s="125"/>
      <c r="F25" s="128" t="s">
        <v>1055</v>
      </c>
      <c r="G25" s="134" t="s">
        <v>1072</v>
      </c>
      <c r="H25" s="135">
        <v>500</v>
      </c>
      <c r="I25" s="135">
        <v>500</v>
      </c>
      <c r="J25" s="118"/>
      <c r="K25" s="118"/>
      <c r="L25" s="118"/>
      <c r="M25" s="118"/>
      <c r="N25" s="136"/>
      <c r="O25" s="136"/>
      <c r="P25" s="135">
        <v>500</v>
      </c>
      <c r="Q25" s="118"/>
      <c r="R25" s="135">
        <v>500</v>
      </c>
      <c r="S25" s="135">
        <v>500</v>
      </c>
      <c r="T25" s="135">
        <v>500</v>
      </c>
      <c r="U25" s="118"/>
      <c r="V25" s="119"/>
      <c r="W25" s="137"/>
      <c r="X25" s="137"/>
      <c r="Y25" s="137"/>
    </row>
    <row r="26" spans="1:25" s="117" customFormat="1" ht="47.25" x14ac:dyDescent="0.25">
      <c r="A26" s="131">
        <v>10</v>
      </c>
      <c r="B26" s="135" t="s">
        <v>1073</v>
      </c>
      <c r="C26" s="133"/>
      <c r="D26" s="125"/>
      <c r="E26" s="125"/>
      <c r="F26" s="128" t="s">
        <v>1055</v>
      </c>
      <c r="G26" s="134" t="s">
        <v>1074</v>
      </c>
      <c r="H26" s="135">
        <v>700</v>
      </c>
      <c r="I26" s="135">
        <v>700</v>
      </c>
      <c r="J26" s="118"/>
      <c r="K26" s="118"/>
      <c r="L26" s="118"/>
      <c r="M26" s="118"/>
      <c r="N26" s="136"/>
      <c r="O26" s="136"/>
      <c r="P26" s="135">
        <v>700</v>
      </c>
      <c r="Q26" s="118"/>
      <c r="R26" s="135">
        <v>700</v>
      </c>
      <c r="S26" s="135">
        <v>700</v>
      </c>
      <c r="T26" s="135">
        <v>700</v>
      </c>
      <c r="U26" s="118"/>
      <c r="V26" s="119"/>
      <c r="W26" s="137"/>
      <c r="X26" s="137"/>
      <c r="Y26" s="137"/>
    </row>
    <row r="27" spans="1:25" s="117" customFormat="1" ht="47.25" x14ac:dyDescent="0.25">
      <c r="A27" s="131">
        <v>11</v>
      </c>
      <c r="B27" s="135" t="s">
        <v>1075</v>
      </c>
      <c r="C27" s="133"/>
      <c r="D27" s="125"/>
      <c r="E27" s="125"/>
      <c r="F27" s="128" t="s">
        <v>1055</v>
      </c>
      <c r="G27" s="134" t="s">
        <v>1076</v>
      </c>
      <c r="H27" s="135">
        <v>500</v>
      </c>
      <c r="I27" s="135">
        <v>500</v>
      </c>
      <c r="J27" s="118"/>
      <c r="K27" s="118"/>
      <c r="L27" s="118"/>
      <c r="M27" s="118"/>
      <c r="N27" s="118"/>
      <c r="O27" s="118"/>
      <c r="P27" s="135">
        <v>500</v>
      </c>
      <c r="Q27" s="118"/>
      <c r="R27" s="135">
        <v>500</v>
      </c>
      <c r="S27" s="135">
        <v>500</v>
      </c>
      <c r="T27" s="135">
        <v>500</v>
      </c>
      <c r="U27" s="118"/>
      <c r="V27" s="119"/>
      <c r="W27" s="137"/>
      <c r="X27" s="137"/>
      <c r="Y27" s="137"/>
    </row>
    <row r="28" spans="1:25" s="117" customFormat="1" ht="47.25" x14ac:dyDescent="0.25">
      <c r="A28" s="131">
        <v>12</v>
      </c>
      <c r="B28" s="132" t="s">
        <v>1248</v>
      </c>
      <c r="C28" s="133"/>
      <c r="D28" s="125"/>
      <c r="E28" s="125"/>
      <c r="F28" s="125" t="s">
        <v>1053</v>
      </c>
      <c r="G28" s="138" t="s">
        <v>1249</v>
      </c>
      <c r="H28" s="138">
        <v>617</v>
      </c>
      <c r="I28" s="135">
        <v>261</v>
      </c>
      <c r="J28" s="118"/>
      <c r="K28" s="118"/>
      <c r="L28" s="118"/>
      <c r="M28" s="118"/>
      <c r="N28" s="118"/>
      <c r="O28" s="118"/>
      <c r="P28" s="139">
        <v>261</v>
      </c>
      <c r="Q28" s="118"/>
      <c r="R28" s="135">
        <v>261</v>
      </c>
      <c r="S28" s="135">
        <v>261</v>
      </c>
      <c r="T28" s="139">
        <v>261</v>
      </c>
      <c r="U28" s="118"/>
      <c r="V28" s="125" t="s">
        <v>211</v>
      </c>
      <c r="W28" s="137"/>
      <c r="X28" s="137"/>
      <c r="Y28" s="137"/>
    </row>
    <row r="29" spans="1:25" s="117" customFormat="1" ht="47.25" x14ac:dyDescent="0.25">
      <c r="A29" s="131">
        <v>13</v>
      </c>
      <c r="B29" s="132" t="s">
        <v>1250</v>
      </c>
      <c r="C29" s="133"/>
      <c r="D29" s="125"/>
      <c r="E29" s="125"/>
      <c r="F29" s="125" t="s">
        <v>1053</v>
      </c>
      <c r="G29" s="138" t="s">
        <v>1251</v>
      </c>
      <c r="H29" s="138">
        <v>1713</v>
      </c>
      <c r="I29" s="135">
        <v>1053</v>
      </c>
      <c r="J29" s="118"/>
      <c r="K29" s="118"/>
      <c r="L29" s="118"/>
      <c r="M29" s="118"/>
      <c r="N29" s="118"/>
      <c r="O29" s="118"/>
      <c r="P29" s="139">
        <v>1053</v>
      </c>
      <c r="Q29" s="118"/>
      <c r="R29" s="135">
        <v>1053</v>
      </c>
      <c r="S29" s="135">
        <v>1053</v>
      </c>
      <c r="T29" s="139">
        <v>1053</v>
      </c>
      <c r="U29" s="118"/>
      <c r="V29" s="125" t="s">
        <v>211</v>
      </c>
      <c r="W29" s="137"/>
      <c r="X29" s="137"/>
      <c r="Y29" s="137"/>
    </row>
    <row r="30" spans="1:25" s="117" customFormat="1" ht="47.25" x14ac:dyDescent="0.25">
      <c r="A30" s="131">
        <v>14</v>
      </c>
      <c r="B30" s="132" t="s">
        <v>1252</v>
      </c>
      <c r="C30" s="133"/>
      <c r="D30" s="125"/>
      <c r="E30" s="125"/>
      <c r="F30" s="140" t="s">
        <v>1053</v>
      </c>
      <c r="G30" s="138" t="s">
        <v>1253</v>
      </c>
      <c r="H30" s="138">
        <v>1713</v>
      </c>
      <c r="I30" s="135">
        <v>1053</v>
      </c>
      <c r="J30" s="118"/>
      <c r="K30" s="118"/>
      <c r="L30" s="118"/>
      <c r="M30" s="118"/>
      <c r="N30" s="118"/>
      <c r="O30" s="118"/>
      <c r="P30" s="139">
        <v>1053</v>
      </c>
      <c r="Q30" s="118"/>
      <c r="R30" s="135">
        <v>1053</v>
      </c>
      <c r="S30" s="135">
        <v>1053</v>
      </c>
      <c r="T30" s="139">
        <v>1053</v>
      </c>
      <c r="U30" s="118"/>
      <c r="V30" s="125" t="s">
        <v>211</v>
      </c>
      <c r="W30" s="137"/>
      <c r="X30" s="137"/>
      <c r="Y30" s="137"/>
    </row>
    <row r="31" spans="1:25" s="117" customFormat="1" ht="47.25" x14ac:dyDescent="0.25">
      <c r="A31" s="131">
        <v>15</v>
      </c>
      <c r="B31" s="132" t="s">
        <v>1254</v>
      </c>
      <c r="C31" s="133"/>
      <c r="D31" s="125"/>
      <c r="E31" s="125"/>
      <c r="F31" s="138" t="s">
        <v>1053</v>
      </c>
      <c r="G31" s="138" t="s">
        <v>1255</v>
      </c>
      <c r="H31" s="138">
        <v>3166</v>
      </c>
      <c r="I31" s="135">
        <v>2108</v>
      </c>
      <c r="J31" s="118"/>
      <c r="K31" s="118"/>
      <c r="L31" s="118"/>
      <c r="M31" s="118"/>
      <c r="N31" s="118"/>
      <c r="O31" s="118"/>
      <c r="P31" s="139">
        <v>2108</v>
      </c>
      <c r="Q31" s="118"/>
      <c r="R31" s="135">
        <v>2108</v>
      </c>
      <c r="S31" s="135">
        <v>2108</v>
      </c>
      <c r="T31" s="139">
        <v>2108</v>
      </c>
      <c r="U31" s="118"/>
      <c r="V31" s="125" t="s">
        <v>211</v>
      </c>
      <c r="W31" s="137"/>
      <c r="X31" s="137"/>
      <c r="Y31" s="137"/>
    </row>
    <row r="32" spans="1:25" s="117" customFormat="1" ht="47.25" x14ac:dyDescent="0.25">
      <c r="A32" s="131">
        <v>16</v>
      </c>
      <c r="B32" s="132" t="s">
        <v>1256</v>
      </c>
      <c r="C32" s="133"/>
      <c r="D32" s="125"/>
      <c r="E32" s="125"/>
      <c r="F32" s="138" t="s">
        <v>1053</v>
      </c>
      <c r="G32" s="138" t="s">
        <v>1257</v>
      </c>
      <c r="H32" s="138">
        <v>2176</v>
      </c>
      <c r="I32" s="135">
        <v>1375</v>
      </c>
      <c r="J32" s="118"/>
      <c r="K32" s="118"/>
      <c r="L32" s="118"/>
      <c r="M32" s="118"/>
      <c r="N32" s="118"/>
      <c r="O32" s="118"/>
      <c r="P32" s="139">
        <v>1375</v>
      </c>
      <c r="Q32" s="118"/>
      <c r="R32" s="135">
        <v>1375</v>
      </c>
      <c r="S32" s="135">
        <v>1375</v>
      </c>
      <c r="T32" s="139">
        <v>1375</v>
      </c>
      <c r="U32" s="118"/>
      <c r="V32" s="125" t="s">
        <v>211</v>
      </c>
      <c r="W32" s="137"/>
      <c r="X32" s="137"/>
      <c r="Y32" s="137"/>
    </row>
    <row r="33" spans="1:25" s="117" customFormat="1" ht="47.25" x14ac:dyDescent="0.25">
      <c r="A33" s="131">
        <v>17</v>
      </c>
      <c r="B33" s="132" t="s">
        <v>1258</v>
      </c>
      <c r="C33" s="133"/>
      <c r="D33" s="125"/>
      <c r="E33" s="125"/>
      <c r="F33" s="138" t="s">
        <v>1259</v>
      </c>
      <c r="G33" s="138" t="s">
        <v>1260</v>
      </c>
      <c r="H33" s="138">
        <v>1312</v>
      </c>
      <c r="I33" s="135">
        <v>525</v>
      </c>
      <c r="J33" s="118"/>
      <c r="K33" s="118"/>
      <c r="L33" s="118"/>
      <c r="M33" s="118"/>
      <c r="N33" s="118"/>
      <c r="O33" s="118"/>
      <c r="P33" s="139">
        <v>525</v>
      </c>
      <c r="Q33" s="118"/>
      <c r="R33" s="135">
        <v>525</v>
      </c>
      <c r="S33" s="135">
        <v>525</v>
      </c>
      <c r="T33" s="139">
        <v>525</v>
      </c>
      <c r="U33" s="118"/>
      <c r="V33" s="125" t="s">
        <v>211</v>
      </c>
      <c r="W33" s="137"/>
      <c r="X33" s="137"/>
      <c r="Y33" s="137"/>
    </row>
    <row r="34" spans="1:25" s="117" customFormat="1" ht="47.25" x14ac:dyDescent="0.25">
      <c r="A34" s="131">
        <v>18</v>
      </c>
      <c r="B34" s="132" t="s">
        <v>1261</v>
      </c>
      <c r="C34" s="133"/>
      <c r="D34" s="125"/>
      <c r="E34" s="125"/>
      <c r="F34" s="138" t="s">
        <v>1259</v>
      </c>
      <c r="G34" s="138" t="s">
        <v>1262</v>
      </c>
      <c r="H34" s="138">
        <v>1378</v>
      </c>
      <c r="I34" s="135">
        <v>490</v>
      </c>
      <c r="J34" s="118"/>
      <c r="K34" s="118"/>
      <c r="L34" s="118"/>
      <c r="M34" s="118"/>
      <c r="N34" s="118"/>
      <c r="O34" s="118"/>
      <c r="P34" s="139">
        <v>238</v>
      </c>
      <c r="Q34" s="118"/>
      <c r="R34" s="135">
        <v>238</v>
      </c>
      <c r="S34" s="135">
        <v>238</v>
      </c>
      <c r="T34" s="139">
        <v>238</v>
      </c>
      <c r="U34" s="118"/>
      <c r="V34" s="125" t="s">
        <v>211</v>
      </c>
      <c r="W34" s="137"/>
      <c r="X34" s="137"/>
      <c r="Y34" s="137"/>
    </row>
    <row r="35" spans="1:25" s="117" customFormat="1" ht="47.25" x14ac:dyDescent="0.25">
      <c r="A35" s="131">
        <v>19</v>
      </c>
      <c r="B35" s="132" t="s">
        <v>1263</v>
      </c>
      <c r="C35" s="133"/>
      <c r="D35" s="125"/>
      <c r="E35" s="125"/>
      <c r="F35" s="138" t="s">
        <v>1259</v>
      </c>
      <c r="G35" s="138" t="s">
        <v>1264</v>
      </c>
      <c r="H35" s="138">
        <v>1297</v>
      </c>
      <c r="I35" s="135">
        <v>519</v>
      </c>
      <c r="J35" s="118"/>
      <c r="K35" s="118"/>
      <c r="L35" s="118"/>
      <c r="M35" s="118"/>
      <c r="N35" s="118"/>
      <c r="O35" s="118"/>
      <c r="P35" s="139">
        <v>519</v>
      </c>
      <c r="Q35" s="118"/>
      <c r="R35" s="135">
        <v>519</v>
      </c>
      <c r="S35" s="135">
        <v>519</v>
      </c>
      <c r="T35" s="139">
        <v>519</v>
      </c>
      <c r="U35" s="118"/>
      <c r="V35" s="125" t="s">
        <v>211</v>
      </c>
      <c r="W35" s="137"/>
      <c r="X35" s="137"/>
      <c r="Y35" s="137"/>
    </row>
    <row r="36" spans="1:25" s="117" customFormat="1" ht="47.25" x14ac:dyDescent="0.25">
      <c r="A36" s="131">
        <v>20</v>
      </c>
      <c r="B36" s="141" t="s">
        <v>1077</v>
      </c>
      <c r="C36" s="133"/>
      <c r="D36" s="125"/>
      <c r="E36" s="125"/>
      <c r="F36" s="142" t="s">
        <v>1054</v>
      </c>
      <c r="G36" s="143" t="s">
        <v>1078</v>
      </c>
      <c r="H36" s="144">
        <v>1346</v>
      </c>
      <c r="I36" s="144">
        <v>606</v>
      </c>
      <c r="J36" s="118"/>
      <c r="K36" s="118"/>
      <c r="L36" s="118"/>
      <c r="M36" s="118"/>
      <c r="N36" s="118"/>
      <c r="O36" s="118"/>
      <c r="P36" s="144">
        <v>606</v>
      </c>
      <c r="Q36" s="118"/>
      <c r="R36" s="144">
        <v>606</v>
      </c>
      <c r="S36" s="144">
        <v>606</v>
      </c>
      <c r="T36" s="144">
        <v>606</v>
      </c>
      <c r="U36" s="118"/>
      <c r="V36" s="125" t="s">
        <v>211</v>
      </c>
      <c r="W36" s="137"/>
      <c r="X36" s="137"/>
      <c r="Y36" s="137"/>
    </row>
    <row r="37" spans="1:25" s="117" customFormat="1" ht="47.25" x14ac:dyDescent="0.25">
      <c r="A37" s="131">
        <v>21</v>
      </c>
      <c r="B37" s="141" t="s">
        <v>1079</v>
      </c>
      <c r="C37" s="133"/>
      <c r="D37" s="125"/>
      <c r="E37" s="125"/>
      <c r="F37" s="142" t="s">
        <v>1054</v>
      </c>
      <c r="G37" s="143" t="s">
        <v>1078</v>
      </c>
      <c r="H37" s="144">
        <v>1278</v>
      </c>
      <c r="I37" s="144">
        <v>575</v>
      </c>
      <c r="J37" s="118"/>
      <c r="K37" s="118"/>
      <c r="L37" s="118"/>
      <c r="M37" s="118"/>
      <c r="N37" s="118"/>
      <c r="O37" s="118"/>
      <c r="P37" s="144">
        <v>575</v>
      </c>
      <c r="Q37" s="118"/>
      <c r="R37" s="144">
        <v>575</v>
      </c>
      <c r="S37" s="144">
        <v>575</v>
      </c>
      <c r="T37" s="144">
        <v>575</v>
      </c>
      <c r="U37" s="118"/>
      <c r="V37" s="125" t="s">
        <v>211</v>
      </c>
      <c r="W37" s="137"/>
      <c r="X37" s="137"/>
      <c r="Y37" s="137"/>
    </row>
    <row r="38" spans="1:25" s="117" customFormat="1" ht="47.25" x14ac:dyDescent="0.25">
      <c r="A38" s="131">
        <v>22</v>
      </c>
      <c r="B38" s="141" t="s">
        <v>1080</v>
      </c>
      <c r="C38" s="133"/>
      <c r="D38" s="125"/>
      <c r="E38" s="125"/>
      <c r="F38" s="142" t="s">
        <v>1054</v>
      </c>
      <c r="G38" s="143" t="s">
        <v>1078</v>
      </c>
      <c r="H38" s="144">
        <v>1278</v>
      </c>
      <c r="I38" s="144">
        <v>575</v>
      </c>
      <c r="J38" s="118"/>
      <c r="K38" s="118"/>
      <c r="L38" s="118"/>
      <c r="M38" s="118"/>
      <c r="N38" s="118"/>
      <c r="O38" s="118"/>
      <c r="P38" s="144">
        <v>575</v>
      </c>
      <c r="Q38" s="118"/>
      <c r="R38" s="144">
        <v>575</v>
      </c>
      <c r="S38" s="144">
        <v>575</v>
      </c>
      <c r="T38" s="144">
        <v>575</v>
      </c>
      <c r="U38" s="118"/>
      <c r="V38" s="125" t="s">
        <v>211</v>
      </c>
      <c r="W38" s="137"/>
      <c r="X38" s="137"/>
      <c r="Y38" s="137"/>
    </row>
    <row r="39" spans="1:25" s="117" customFormat="1" ht="47.25" x14ac:dyDescent="0.25">
      <c r="A39" s="131">
        <v>23</v>
      </c>
      <c r="B39" s="141" t="s">
        <v>1081</v>
      </c>
      <c r="C39" s="145"/>
      <c r="D39" s="119"/>
      <c r="E39" s="119"/>
      <c r="F39" s="142" t="s">
        <v>1054</v>
      </c>
      <c r="G39" s="143" t="s">
        <v>1078</v>
      </c>
      <c r="H39" s="144">
        <v>851</v>
      </c>
      <c r="I39" s="144">
        <v>383</v>
      </c>
      <c r="J39" s="122"/>
      <c r="K39" s="122"/>
      <c r="L39" s="122"/>
      <c r="M39" s="122"/>
      <c r="N39" s="122"/>
      <c r="O39" s="122"/>
      <c r="P39" s="144">
        <v>383</v>
      </c>
      <c r="Q39" s="122"/>
      <c r="R39" s="144">
        <v>383</v>
      </c>
      <c r="S39" s="144">
        <v>383</v>
      </c>
      <c r="T39" s="144">
        <v>383</v>
      </c>
      <c r="U39" s="122"/>
      <c r="V39" s="125" t="s">
        <v>211</v>
      </c>
      <c r="W39" s="137"/>
      <c r="X39" s="137"/>
      <c r="Y39" s="137"/>
    </row>
    <row r="40" spans="1:25" s="117" customFormat="1" ht="31.5" x14ac:dyDescent="0.25">
      <c r="A40" s="131">
        <v>24</v>
      </c>
      <c r="B40" s="141" t="s">
        <v>1082</v>
      </c>
      <c r="C40" s="145"/>
      <c r="D40" s="119"/>
      <c r="E40" s="119"/>
      <c r="F40" s="142" t="s">
        <v>1054</v>
      </c>
      <c r="G40" s="143" t="s">
        <v>1083</v>
      </c>
      <c r="H40" s="144">
        <v>1061</v>
      </c>
      <c r="I40" s="144">
        <v>702</v>
      </c>
      <c r="J40" s="122"/>
      <c r="K40" s="122"/>
      <c r="L40" s="122"/>
      <c r="M40" s="122"/>
      <c r="N40" s="122"/>
      <c r="O40" s="122"/>
      <c r="P40" s="144">
        <v>702</v>
      </c>
      <c r="Q40" s="122"/>
      <c r="R40" s="144">
        <v>702</v>
      </c>
      <c r="S40" s="144">
        <v>702</v>
      </c>
      <c r="T40" s="144">
        <v>702</v>
      </c>
      <c r="U40" s="122"/>
      <c r="V40" s="125" t="s">
        <v>211</v>
      </c>
      <c r="W40" s="137"/>
      <c r="X40" s="137"/>
      <c r="Y40" s="137"/>
    </row>
  </sheetData>
  <mergeCells count="34">
    <mergeCell ref="T9:T12"/>
    <mergeCell ref="U9:U12"/>
    <mergeCell ref="T6:U8"/>
    <mergeCell ref="V6:V12"/>
    <mergeCell ref="G9:G12"/>
    <mergeCell ref="H9:H12"/>
    <mergeCell ref="I9:I12"/>
    <mergeCell ref="J9:J12"/>
    <mergeCell ref="K9:K12"/>
    <mergeCell ref="L9:L12"/>
    <mergeCell ref="M9:M12"/>
    <mergeCell ref="P6:Q8"/>
    <mergeCell ref="R6:S8"/>
    <mergeCell ref="F6:F12"/>
    <mergeCell ref="G6:I8"/>
    <mergeCell ref="J6:K8"/>
    <mergeCell ref="L6:M8"/>
    <mergeCell ref="N6:O8"/>
    <mergeCell ref="N9:N12"/>
    <mergeCell ref="O9:O12"/>
    <mergeCell ref="P9:P12"/>
    <mergeCell ref="Q9:Q12"/>
    <mergeCell ref="R9:R12"/>
    <mergeCell ref="S9:S12"/>
    <mergeCell ref="A6:A12"/>
    <mergeCell ref="B6:B12"/>
    <mergeCell ref="C6:C12"/>
    <mergeCell ref="D6:D12"/>
    <mergeCell ref="E6:E12"/>
    <mergeCell ref="A1:V1"/>
    <mergeCell ref="A2:V2"/>
    <mergeCell ref="A3:V3"/>
    <mergeCell ref="A4:U4"/>
    <mergeCell ref="A5:V5"/>
  </mergeCells>
  <printOptions horizontalCentered="1"/>
  <pageMargins left="0.11811023622047245" right="0.11811023622047245" top="0.15748031496062992" bottom="0.15748031496062992" header="0.31496062992125984" footer="0.31496062992125984"/>
  <pageSetup paperSize="9" scale="70" orientation="landscape"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00B0F0"/>
  </sheetPr>
  <dimension ref="A1:F38"/>
  <sheetViews>
    <sheetView workbookViewId="0">
      <selection activeCell="M17" sqref="M17"/>
    </sheetView>
  </sheetViews>
  <sheetFormatPr defaultRowHeight="15" x14ac:dyDescent="0.25"/>
  <cols>
    <col min="1" max="1" width="6.28515625" customWidth="1"/>
    <col min="2" max="2" width="45.42578125" customWidth="1"/>
    <col min="3" max="6" width="9.7109375" customWidth="1"/>
  </cols>
  <sheetData>
    <row r="1" spans="1:6" ht="15.75" x14ac:dyDescent="0.25">
      <c r="F1" s="25" t="s">
        <v>688</v>
      </c>
    </row>
    <row r="2" spans="1:6" ht="23.25" customHeight="1" x14ac:dyDescent="0.25">
      <c r="A2" s="594" t="s">
        <v>749</v>
      </c>
      <c r="B2" s="594"/>
      <c r="C2" s="594"/>
      <c r="D2" s="594"/>
      <c r="E2" s="594"/>
      <c r="F2" s="594"/>
    </row>
    <row r="3" spans="1:6" ht="15.75" x14ac:dyDescent="0.25">
      <c r="A3" s="594" t="s">
        <v>126</v>
      </c>
      <c r="B3" s="594"/>
      <c r="C3" s="594"/>
      <c r="D3" s="594"/>
      <c r="E3" s="594"/>
      <c r="F3" s="594"/>
    </row>
    <row r="4" spans="1:6" ht="15.75" x14ac:dyDescent="0.25">
      <c r="F4" s="26" t="s">
        <v>56</v>
      </c>
    </row>
    <row r="5" spans="1:6" ht="15.75" x14ac:dyDescent="0.25">
      <c r="A5" s="595" t="s">
        <v>3</v>
      </c>
      <c r="B5" s="595" t="s">
        <v>355</v>
      </c>
      <c r="C5" s="595" t="s">
        <v>663</v>
      </c>
      <c r="D5" s="595" t="s">
        <v>750</v>
      </c>
      <c r="E5" s="595" t="s">
        <v>229</v>
      </c>
      <c r="F5" s="595"/>
    </row>
    <row r="6" spans="1:6" ht="31.5" x14ac:dyDescent="0.25">
      <c r="A6" s="595"/>
      <c r="B6" s="595"/>
      <c r="C6" s="595"/>
      <c r="D6" s="595"/>
      <c r="E6" s="29" t="s">
        <v>233</v>
      </c>
      <c r="F6" s="29" t="s">
        <v>415</v>
      </c>
    </row>
    <row r="7" spans="1:6" ht="15.75" x14ac:dyDescent="0.25">
      <c r="A7" s="28" t="s">
        <v>15</v>
      </c>
      <c r="B7" s="28" t="s">
        <v>16</v>
      </c>
      <c r="C7" s="28">
        <v>1</v>
      </c>
      <c r="D7" s="28">
        <v>2</v>
      </c>
      <c r="E7" s="28" t="s">
        <v>359</v>
      </c>
      <c r="F7" s="28" t="s">
        <v>360</v>
      </c>
    </row>
    <row r="8" spans="1:6" ht="15.75" x14ac:dyDescent="0.25">
      <c r="A8" s="29" t="s">
        <v>15</v>
      </c>
      <c r="B8" s="30" t="s">
        <v>237</v>
      </c>
      <c r="C8" s="28"/>
      <c r="D8" s="28"/>
      <c r="E8" s="28"/>
      <c r="F8" s="28"/>
    </row>
    <row r="9" spans="1:6" ht="15.75" x14ac:dyDescent="0.25">
      <c r="A9" s="29" t="s">
        <v>83</v>
      </c>
      <c r="B9" s="30" t="s">
        <v>361</v>
      </c>
      <c r="C9" s="28"/>
      <c r="D9" s="28"/>
      <c r="E9" s="28"/>
      <c r="F9" s="28"/>
    </row>
    <row r="10" spans="1:6" ht="15.75" x14ac:dyDescent="0.25">
      <c r="A10" s="28" t="s">
        <v>22</v>
      </c>
      <c r="B10" s="31" t="s">
        <v>362</v>
      </c>
      <c r="C10" s="28"/>
      <c r="D10" s="28"/>
      <c r="E10" s="28"/>
      <c r="F10" s="28"/>
    </row>
    <row r="11" spans="1:6" ht="15.75" x14ac:dyDescent="0.25">
      <c r="A11" s="28" t="s">
        <v>22</v>
      </c>
      <c r="B11" s="31" t="s">
        <v>363</v>
      </c>
      <c r="C11" s="28"/>
      <c r="D11" s="28"/>
      <c r="E11" s="28"/>
      <c r="F11" s="28"/>
    </row>
    <row r="12" spans="1:6" ht="15.75" x14ac:dyDescent="0.25">
      <c r="A12" s="29" t="s">
        <v>70</v>
      </c>
      <c r="B12" s="30" t="s">
        <v>751</v>
      </c>
      <c r="C12" s="28"/>
      <c r="D12" s="28"/>
      <c r="E12" s="28"/>
      <c r="F12" s="28"/>
    </row>
    <row r="13" spans="1:6" ht="15.75" x14ac:dyDescent="0.25">
      <c r="A13" s="28">
        <v>1</v>
      </c>
      <c r="B13" s="31" t="s">
        <v>240</v>
      </c>
      <c r="C13" s="28"/>
      <c r="D13" s="28"/>
      <c r="E13" s="28"/>
      <c r="F13" s="28"/>
    </row>
    <row r="14" spans="1:6" ht="15.75" x14ac:dyDescent="0.25">
      <c r="A14" s="28">
        <v>2</v>
      </c>
      <c r="B14" s="31" t="s">
        <v>88</v>
      </c>
      <c r="C14" s="28"/>
      <c r="D14" s="28"/>
      <c r="E14" s="28"/>
      <c r="F14" s="28"/>
    </row>
    <row r="15" spans="1:6" ht="15.75" x14ac:dyDescent="0.25">
      <c r="A15" s="29" t="s">
        <v>73</v>
      </c>
      <c r="B15" s="30" t="s">
        <v>241</v>
      </c>
      <c r="C15" s="28"/>
      <c r="D15" s="28"/>
      <c r="E15" s="28"/>
      <c r="F15" s="28"/>
    </row>
    <row r="16" spans="1:6" ht="15.75" x14ac:dyDescent="0.25">
      <c r="A16" s="29" t="s">
        <v>77</v>
      </c>
      <c r="B16" s="30" t="s">
        <v>303</v>
      </c>
      <c r="C16" s="28"/>
      <c r="D16" s="28"/>
      <c r="E16" s="28"/>
      <c r="F16" s="28"/>
    </row>
    <row r="17" spans="1:6" ht="15.75" x14ac:dyDescent="0.25">
      <c r="A17" s="29" t="s">
        <v>113</v>
      </c>
      <c r="B17" s="30" t="s">
        <v>243</v>
      </c>
      <c r="C17" s="28"/>
      <c r="D17" s="28"/>
      <c r="E17" s="28"/>
      <c r="F17" s="28"/>
    </row>
    <row r="18" spans="1:6" ht="15.75" x14ac:dyDescent="0.25">
      <c r="A18" s="29" t="s">
        <v>16</v>
      </c>
      <c r="B18" s="30" t="s">
        <v>90</v>
      </c>
      <c r="C18" s="28"/>
      <c r="D18" s="28"/>
      <c r="E18" s="28"/>
      <c r="F18" s="28"/>
    </row>
    <row r="19" spans="1:6" ht="15.75" x14ac:dyDescent="0.25">
      <c r="A19" s="29" t="s">
        <v>83</v>
      </c>
      <c r="B19" s="30" t="s">
        <v>752</v>
      </c>
      <c r="C19" s="28"/>
      <c r="D19" s="28"/>
      <c r="E19" s="28"/>
      <c r="F19" s="28"/>
    </row>
    <row r="20" spans="1:6" ht="15.75" x14ac:dyDescent="0.25">
      <c r="A20" s="28">
        <v>1</v>
      </c>
      <c r="B20" s="31" t="s">
        <v>367</v>
      </c>
      <c r="C20" s="28"/>
      <c r="D20" s="28"/>
      <c r="E20" s="28"/>
      <c r="F20" s="28"/>
    </row>
    <row r="21" spans="1:6" ht="15.75" x14ac:dyDescent="0.25">
      <c r="A21" s="28">
        <v>2</v>
      </c>
      <c r="B21" s="31" t="s">
        <v>96</v>
      </c>
      <c r="C21" s="28"/>
      <c r="D21" s="28"/>
      <c r="E21" s="28"/>
      <c r="F21" s="28"/>
    </row>
    <row r="22" spans="1:6" ht="31.5" x14ac:dyDescent="0.25">
      <c r="A22" s="28">
        <v>3</v>
      </c>
      <c r="B22" s="31" t="s">
        <v>97</v>
      </c>
      <c r="C22" s="28"/>
      <c r="D22" s="28"/>
      <c r="E22" s="28"/>
      <c r="F22" s="28"/>
    </row>
    <row r="23" spans="1:6" ht="15.75" x14ac:dyDescent="0.25">
      <c r="A23" s="28">
        <v>4</v>
      </c>
      <c r="B23" s="31" t="s">
        <v>246</v>
      </c>
      <c r="C23" s="28"/>
      <c r="D23" s="28"/>
      <c r="E23" s="28"/>
      <c r="F23" s="28"/>
    </row>
    <row r="24" spans="1:6" ht="15.75" x14ac:dyDescent="0.25">
      <c r="A24" s="28">
        <v>5</v>
      </c>
      <c r="B24" s="31" t="s">
        <v>247</v>
      </c>
      <c r="C24" s="28"/>
      <c r="D24" s="28"/>
      <c r="E24" s="28"/>
      <c r="F24" s="28"/>
    </row>
    <row r="25" spans="1:6" ht="15.75" x14ac:dyDescent="0.25">
      <c r="A25" s="28">
        <v>6</v>
      </c>
      <c r="B25" s="31" t="s">
        <v>98</v>
      </c>
      <c r="C25" s="28"/>
      <c r="D25" s="28"/>
      <c r="E25" s="28"/>
      <c r="F25" s="28"/>
    </row>
    <row r="26" spans="1:6" ht="15.75" x14ac:dyDescent="0.25">
      <c r="A26" s="29" t="s">
        <v>70</v>
      </c>
      <c r="B26" s="30" t="s">
        <v>248</v>
      </c>
      <c r="C26" s="28"/>
      <c r="D26" s="28"/>
      <c r="E26" s="28"/>
      <c r="F26" s="28"/>
    </row>
    <row r="27" spans="1:6" ht="15.75" x14ac:dyDescent="0.25">
      <c r="A27" s="28">
        <v>1</v>
      </c>
      <c r="B27" s="31" t="s">
        <v>249</v>
      </c>
      <c r="C27" s="28"/>
      <c r="D27" s="28"/>
      <c r="E27" s="28"/>
      <c r="F27" s="28"/>
    </row>
    <row r="28" spans="1:6" ht="15.75" x14ac:dyDescent="0.25">
      <c r="A28" s="28">
        <v>2</v>
      </c>
      <c r="B28" s="31" t="s">
        <v>250</v>
      </c>
      <c r="C28" s="28"/>
      <c r="D28" s="28"/>
      <c r="E28" s="28"/>
      <c r="F28" s="28"/>
    </row>
    <row r="29" spans="1:6" ht="15.75" x14ac:dyDescent="0.25">
      <c r="A29" s="29" t="s">
        <v>73</v>
      </c>
      <c r="B29" s="30" t="s">
        <v>251</v>
      </c>
      <c r="C29" s="28"/>
      <c r="D29" s="28"/>
      <c r="E29" s="28"/>
      <c r="F29" s="28"/>
    </row>
    <row r="30" spans="1:6" ht="31.5" x14ac:dyDescent="0.25">
      <c r="A30" s="29" t="s">
        <v>79</v>
      </c>
      <c r="B30" s="30" t="s">
        <v>753</v>
      </c>
      <c r="C30" s="28"/>
      <c r="D30" s="28"/>
      <c r="E30" s="28"/>
      <c r="F30" s="28"/>
    </row>
    <row r="31" spans="1:6" ht="15.75" x14ac:dyDescent="0.25">
      <c r="A31" s="29" t="s">
        <v>89</v>
      </c>
      <c r="B31" s="30" t="s">
        <v>754</v>
      </c>
      <c r="C31" s="28"/>
      <c r="D31" s="28"/>
      <c r="E31" s="28"/>
      <c r="F31" s="28"/>
    </row>
    <row r="32" spans="1:6" ht="15.75" x14ac:dyDescent="0.25">
      <c r="A32" s="29" t="s">
        <v>83</v>
      </c>
      <c r="B32" s="30" t="s">
        <v>108</v>
      </c>
      <c r="C32" s="28"/>
      <c r="D32" s="28"/>
      <c r="E32" s="28"/>
      <c r="F32" s="28"/>
    </row>
    <row r="33" spans="1:6" ht="31.5" x14ac:dyDescent="0.25">
      <c r="A33" s="29" t="s">
        <v>70</v>
      </c>
      <c r="B33" s="30" t="s">
        <v>257</v>
      </c>
      <c r="C33" s="28"/>
      <c r="D33" s="28"/>
      <c r="E33" s="28"/>
      <c r="F33" s="28"/>
    </row>
    <row r="34" spans="1:6" ht="15.75" x14ac:dyDescent="0.25">
      <c r="A34" s="29" t="s">
        <v>99</v>
      </c>
      <c r="B34" s="30" t="s">
        <v>369</v>
      </c>
      <c r="C34" s="28"/>
      <c r="D34" s="28"/>
      <c r="E34" s="28"/>
      <c r="F34" s="28"/>
    </row>
    <row r="35" spans="1:6" ht="15.75" x14ac:dyDescent="0.25">
      <c r="A35" s="29" t="s">
        <v>83</v>
      </c>
      <c r="B35" s="30" t="s">
        <v>111</v>
      </c>
      <c r="C35" s="28"/>
      <c r="D35" s="28"/>
      <c r="E35" s="28"/>
      <c r="F35" s="28"/>
    </row>
    <row r="36" spans="1:6" ht="15.75" x14ac:dyDescent="0.25">
      <c r="A36" s="29" t="s">
        <v>70</v>
      </c>
      <c r="B36" s="30" t="s">
        <v>112</v>
      </c>
      <c r="C36" s="28"/>
      <c r="D36" s="28"/>
      <c r="E36" s="28"/>
      <c r="F36" s="28"/>
    </row>
    <row r="37" spans="1:6" ht="31.5" x14ac:dyDescent="0.25">
      <c r="A37" s="29" t="s">
        <v>101</v>
      </c>
      <c r="B37" s="30" t="s">
        <v>755</v>
      </c>
      <c r="C37" s="28"/>
      <c r="D37" s="28"/>
      <c r="E37" s="28"/>
      <c r="F37" s="28"/>
    </row>
    <row r="38" spans="1:6" ht="60" customHeight="1" x14ac:dyDescent="0.25">
      <c r="A38" s="650" t="s">
        <v>756</v>
      </c>
      <c r="B38" s="650"/>
      <c r="C38" s="650"/>
      <c r="D38" s="650"/>
      <c r="E38" s="650"/>
      <c r="F38" s="650"/>
    </row>
  </sheetData>
  <mergeCells count="8">
    <mergeCell ref="A2:F2"/>
    <mergeCell ref="A3:F3"/>
    <mergeCell ref="A38:F38"/>
    <mergeCell ref="A5:A6"/>
    <mergeCell ref="B5:B6"/>
    <mergeCell ref="C5:C6"/>
    <mergeCell ref="D5:D6"/>
    <mergeCell ref="E5:F5"/>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00B0F0"/>
  </sheetPr>
  <dimension ref="A1:E43"/>
  <sheetViews>
    <sheetView workbookViewId="0">
      <selection activeCell="M17" sqref="M17"/>
    </sheetView>
  </sheetViews>
  <sheetFormatPr defaultRowHeight="15" x14ac:dyDescent="0.25"/>
  <cols>
    <col min="1" max="1" width="6.42578125" customWidth="1"/>
    <col min="2" max="2" width="47.28515625" customWidth="1"/>
    <col min="3" max="5" width="11.5703125" customWidth="1"/>
  </cols>
  <sheetData>
    <row r="1" spans="1:5" ht="15.75" x14ac:dyDescent="0.25">
      <c r="E1" s="25" t="s">
        <v>689</v>
      </c>
    </row>
    <row r="2" spans="1:5" ht="40.5" customHeight="1" x14ac:dyDescent="0.25">
      <c r="A2" s="594" t="s">
        <v>757</v>
      </c>
      <c r="B2" s="594"/>
      <c r="C2" s="594"/>
      <c r="D2" s="594"/>
      <c r="E2" s="594"/>
    </row>
    <row r="3" spans="1:5" ht="15.75" x14ac:dyDescent="0.25">
      <c r="A3" s="594" t="s">
        <v>512</v>
      </c>
      <c r="B3" s="594"/>
      <c r="C3" s="594"/>
      <c r="D3" s="594"/>
      <c r="E3" s="594"/>
    </row>
    <row r="4" spans="1:5" ht="15.75" x14ac:dyDescent="0.25">
      <c r="E4" s="26" t="s">
        <v>56</v>
      </c>
    </row>
    <row r="5" spans="1:5" ht="31.5" x14ac:dyDescent="0.25">
      <c r="A5" s="29" t="s">
        <v>3</v>
      </c>
      <c r="B5" s="29" t="s">
        <v>4</v>
      </c>
      <c r="C5" s="29" t="s">
        <v>663</v>
      </c>
      <c r="D5" s="29" t="s">
        <v>750</v>
      </c>
      <c r="E5" s="29" t="s">
        <v>374</v>
      </c>
    </row>
    <row r="6" spans="1:5" ht="15.75" x14ac:dyDescent="0.25">
      <c r="A6" s="29" t="s">
        <v>15</v>
      </c>
      <c r="B6" s="29" t="s">
        <v>16</v>
      </c>
      <c r="C6" s="29">
        <v>1</v>
      </c>
      <c r="D6" s="29">
        <v>2</v>
      </c>
      <c r="E6" s="29">
        <v>3</v>
      </c>
    </row>
    <row r="7" spans="1:5" ht="15.75" x14ac:dyDescent="0.25">
      <c r="A7" s="29" t="s">
        <v>15</v>
      </c>
      <c r="B7" s="30" t="s">
        <v>513</v>
      </c>
      <c r="C7" s="28"/>
      <c r="D7" s="28"/>
      <c r="E7" s="28"/>
    </row>
    <row r="8" spans="1:5" ht="15.75" x14ac:dyDescent="0.25">
      <c r="A8" s="29" t="s">
        <v>83</v>
      </c>
      <c r="B8" s="30" t="s">
        <v>300</v>
      </c>
      <c r="C8" s="28"/>
      <c r="D8" s="28"/>
      <c r="E8" s="28"/>
    </row>
    <row r="9" spans="1:5" ht="15.75" x14ac:dyDescent="0.25">
      <c r="A9" s="28">
        <v>1</v>
      </c>
      <c r="B9" s="31" t="s">
        <v>301</v>
      </c>
      <c r="C9" s="28"/>
      <c r="D9" s="28"/>
      <c r="E9" s="28"/>
    </row>
    <row r="10" spans="1:5" ht="15.75" x14ac:dyDescent="0.25">
      <c r="A10" s="28">
        <v>2</v>
      </c>
      <c r="B10" s="31" t="s">
        <v>302</v>
      </c>
      <c r="C10" s="28"/>
      <c r="D10" s="28"/>
      <c r="E10" s="28"/>
    </row>
    <row r="11" spans="1:5" ht="15.75" x14ac:dyDescent="0.25">
      <c r="A11" s="28" t="s">
        <v>22</v>
      </c>
      <c r="B11" s="31" t="s">
        <v>758</v>
      </c>
      <c r="C11" s="28"/>
      <c r="D11" s="28"/>
      <c r="E11" s="28"/>
    </row>
    <row r="12" spans="1:5" ht="15.75" x14ac:dyDescent="0.25">
      <c r="A12" s="28" t="s">
        <v>22</v>
      </c>
      <c r="B12" s="31" t="s">
        <v>759</v>
      </c>
      <c r="C12" s="28"/>
      <c r="D12" s="28"/>
      <c r="E12" s="28"/>
    </row>
    <row r="13" spans="1:5" ht="15.75" x14ac:dyDescent="0.25">
      <c r="A13" s="28">
        <v>3</v>
      </c>
      <c r="B13" s="31" t="s">
        <v>514</v>
      </c>
      <c r="C13" s="28"/>
      <c r="D13" s="28"/>
      <c r="E13" s="28"/>
    </row>
    <row r="14" spans="1:5" ht="15.75" x14ac:dyDescent="0.25">
      <c r="A14" s="28">
        <v>4</v>
      </c>
      <c r="B14" s="31" t="s">
        <v>303</v>
      </c>
      <c r="C14" s="28"/>
      <c r="D14" s="28"/>
      <c r="E14" s="28"/>
    </row>
    <row r="15" spans="1:5" ht="15.75" x14ac:dyDescent="0.25">
      <c r="A15" s="28">
        <v>5</v>
      </c>
      <c r="B15" s="31" t="s">
        <v>243</v>
      </c>
      <c r="C15" s="28"/>
      <c r="D15" s="28"/>
      <c r="E15" s="28"/>
    </row>
    <row r="16" spans="1:5" ht="15.75" x14ac:dyDescent="0.25">
      <c r="A16" s="29" t="s">
        <v>70</v>
      </c>
      <c r="B16" s="30" t="s">
        <v>304</v>
      </c>
      <c r="C16" s="28"/>
      <c r="D16" s="28"/>
      <c r="E16" s="28"/>
    </row>
    <row r="17" spans="1:5" ht="15.75" x14ac:dyDescent="0.25">
      <c r="A17" s="28">
        <v>1</v>
      </c>
      <c r="B17" s="31" t="s">
        <v>515</v>
      </c>
      <c r="C17" s="28"/>
      <c r="D17" s="28"/>
      <c r="E17" s="28"/>
    </row>
    <row r="18" spans="1:5" ht="15.75" x14ac:dyDescent="0.25">
      <c r="A18" s="28">
        <v>2</v>
      </c>
      <c r="B18" s="31" t="s">
        <v>313</v>
      </c>
      <c r="C18" s="28"/>
      <c r="D18" s="28"/>
      <c r="E18" s="28"/>
    </row>
    <row r="19" spans="1:5" ht="15.75" x14ac:dyDescent="0.25">
      <c r="A19" s="28" t="s">
        <v>22</v>
      </c>
      <c r="B19" s="31" t="s">
        <v>307</v>
      </c>
      <c r="C19" s="28"/>
      <c r="D19" s="28"/>
      <c r="E19" s="28"/>
    </row>
    <row r="20" spans="1:5" ht="15.75" x14ac:dyDescent="0.25">
      <c r="A20" s="28" t="s">
        <v>22</v>
      </c>
      <c r="B20" s="31" t="s">
        <v>308</v>
      </c>
      <c r="C20" s="28"/>
      <c r="D20" s="28"/>
      <c r="E20" s="28"/>
    </row>
    <row r="21" spans="1:5" ht="15.75" x14ac:dyDescent="0.25">
      <c r="A21" s="28">
        <v>3</v>
      </c>
      <c r="B21" s="31" t="s">
        <v>251</v>
      </c>
      <c r="C21" s="28"/>
      <c r="D21" s="28"/>
      <c r="E21" s="28"/>
    </row>
    <row r="22" spans="1:5" ht="31.5" x14ac:dyDescent="0.25">
      <c r="A22" s="29" t="s">
        <v>73</v>
      </c>
      <c r="B22" s="30" t="s">
        <v>760</v>
      </c>
      <c r="C22" s="28"/>
      <c r="D22" s="28"/>
      <c r="E22" s="28"/>
    </row>
    <row r="23" spans="1:5" ht="15.75" x14ac:dyDescent="0.25">
      <c r="A23" s="29" t="s">
        <v>77</v>
      </c>
      <c r="B23" s="30" t="s">
        <v>761</v>
      </c>
      <c r="C23" s="28"/>
      <c r="D23" s="28"/>
      <c r="E23" s="28"/>
    </row>
    <row r="24" spans="1:5" ht="15.75" x14ac:dyDescent="0.25">
      <c r="A24" s="29" t="s">
        <v>16</v>
      </c>
      <c r="B24" s="30" t="s">
        <v>516</v>
      </c>
      <c r="C24" s="28"/>
      <c r="D24" s="28"/>
      <c r="E24" s="28"/>
    </row>
    <row r="25" spans="1:5" ht="15.75" x14ac:dyDescent="0.25">
      <c r="A25" s="29" t="s">
        <v>83</v>
      </c>
      <c r="B25" s="30" t="s">
        <v>300</v>
      </c>
      <c r="C25" s="28"/>
      <c r="D25" s="28"/>
      <c r="E25" s="28"/>
    </row>
    <row r="26" spans="1:5" ht="15.75" x14ac:dyDescent="0.25">
      <c r="A26" s="28">
        <v>1</v>
      </c>
      <c r="B26" s="31" t="s">
        <v>301</v>
      </c>
      <c r="C26" s="28"/>
      <c r="D26" s="28"/>
      <c r="E26" s="28"/>
    </row>
    <row r="27" spans="1:5" ht="15.75" x14ac:dyDescent="0.25">
      <c r="A27" s="28">
        <v>2</v>
      </c>
      <c r="B27" s="31" t="s">
        <v>302</v>
      </c>
      <c r="C27" s="28"/>
      <c r="D27" s="28"/>
      <c r="E27" s="28"/>
    </row>
    <row r="28" spans="1:5" ht="15.75" x14ac:dyDescent="0.25">
      <c r="A28" s="28" t="s">
        <v>22</v>
      </c>
      <c r="B28" s="31" t="s">
        <v>240</v>
      </c>
      <c r="C28" s="28"/>
      <c r="D28" s="28"/>
      <c r="E28" s="28"/>
    </row>
    <row r="29" spans="1:5" ht="15.75" x14ac:dyDescent="0.25">
      <c r="A29" s="28" t="s">
        <v>22</v>
      </c>
      <c r="B29" s="31" t="s">
        <v>88</v>
      </c>
      <c r="C29" s="28"/>
      <c r="D29" s="28"/>
      <c r="E29" s="28"/>
    </row>
    <row r="30" spans="1:5" ht="15.75" x14ac:dyDescent="0.25">
      <c r="A30" s="28">
        <v>3</v>
      </c>
      <c r="B30" s="31" t="s">
        <v>303</v>
      </c>
      <c r="C30" s="28"/>
      <c r="D30" s="28"/>
      <c r="E30" s="28"/>
    </row>
    <row r="31" spans="1:5" ht="15.75" x14ac:dyDescent="0.25">
      <c r="A31" s="28">
        <v>4</v>
      </c>
      <c r="B31" s="31" t="s">
        <v>243</v>
      </c>
      <c r="C31" s="28"/>
      <c r="D31" s="28"/>
      <c r="E31" s="28"/>
    </row>
    <row r="32" spans="1:5" ht="15.75" x14ac:dyDescent="0.25">
      <c r="A32" s="29" t="s">
        <v>70</v>
      </c>
      <c r="B32" s="30" t="s">
        <v>304</v>
      </c>
      <c r="C32" s="28"/>
      <c r="D32" s="28"/>
      <c r="E32" s="28"/>
    </row>
    <row r="33" spans="1:5" ht="15.75" x14ac:dyDescent="0.25">
      <c r="A33" s="28">
        <v>1</v>
      </c>
      <c r="B33" s="31" t="s">
        <v>517</v>
      </c>
      <c r="C33" s="28"/>
      <c r="D33" s="28"/>
      <c r="E33" s="28"/>
    </row>
    <row r="34" spans="1:5" ht="15.75" x14ac:dyDescent="0.25">
      <c r="A34" s="28">
        <v>2</v>
      </c>
      <c r="B34" s="31" t="s">
        <v>647</v>
      </c>
      <c r="C34" s="28"/>
      <c r="D34" s="28"/>
      <c r="E34" s="28"/>
    </row>
    <row r="35" spans="1:5" ht="15.75" x14ac:dyDescent="0.25">
      <c r="A35" s="28" t="s">
        <v>22</v>
      </c>
      <c r="B35" s="31" t="s">
        <v>307</v>
      </c>
      <c r="C35" s="28"/>
      <c r="D35" s="28"/>
      <c r="E35" s="28"/>
    </row>
    <row r="36" spans="1:5" ht="15.75" x14ac:dyDescent="0.25">
      <c r="A36" s="28" t="s">
        <v>22</v>
      </c>
      <c r="B36" s="31" t="s">
        <v>308</v>
      </c>
      <c r="C36" s="28"/>
      <c r="D36" s="28"/>
      <c r="E36" s="28"/>
    </row>
    <row r="37" spans="1:5" ht="15.75" x14ac:dyDescent="0.25">
      <c r="A37" s="28">
        <v>3</v>
      </c>
      <c r="B37" s="31" t="s">
        <v>251</v>
      </c>
      <c r="C37" s="28"/>
      <c r="D37" s="28"/>
      <c r="E37" s="28"/>
    </row>
    <row r="38" spans="1:5" ht="15.75" x14ac:dyDescent="0.25">
      <c r="A38" s="29" t="s">
        <v>73</v>
      </c>
      <c r="B38" s="30" t="s">
        <v>762</v>
      </c>
      <c r="C38" s="28"/>
      <c r="D38" s="28"/>
      <c r="E38" s="28"/>
    </row>
    <row r="39" spans="1:5" ht="15.75" x14ac:dyDescent="0.25">
      <c r="A39" s="27" t="s">
        <v>582</v>
      </c>
    </row>
    <row r="40" spans="1:5" ht="43.5" customHeight="1" x14ac:dyDescent="0.25">
      <c r="A40" s="593" t="s">
        <v>763</v>
      </c>
      <c r="B40" s="593"/>
      <c r="C40" s="593"/>
      <c r="D40" s="593"/>
      <c r="E40" s="593"/>
    </row>
    <row r="41" spans="1:5" ht="15.75" x14ac:dyDescent="0.25">
      <c r="A41" s="593" t="s">
        <v>648</v>
      </c>
      <c r="B41" s="593"/>
      <c r="C41" s="593"/>
      <c r="D41" s="593"/>
      <c r="E41" s="593"/>
    </row>
    <row r="42" spans="1:5" x14ac:dyDescent="0.25">
      <c r="A42" s="40"/>
    </row>
    <row r="43" spans="1:5" x14ac:dyDescent="0.25">
      <c r="A43" s="40"/>
    </row>
  </sheetData>
  <mergeCells count="4">
    <mergeCell ref="A2:E2"/>
    <mergeCell ref="A3:E3"/>
    <mergeCell ref="A40:E40"/>
    <mergeCell ref="A41:E41"/>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00B0F0"/>
  </sheetPr>
  <dimension ref="A1:H59"/>
  <sheetViews>
    <sheetView workbookViewId="0">
      <selection activeCell="M17" sqref="M17"/>
    </sheetView>
  </sheetViews>
  <sheetFormatPr defaultRowHeight="15" x14ac:dyDescent="0.25"/>
  <cols>
    <col min="1" max="1" width="6.42578125" customWidth="1"/>
    <col min="2" max="2" width="47.42578125" customWidth="1"/>
    <col min="3" max="8" width="10.7109375" customWidth="1"/>
  </cols>
  <sheetData>
    <row r="1" spans="1:8" ht="15.75" x14ac:dyDescent="0.25">
      <c r="H1" s="25" t="s">
        <v>690</v>
      </c>
    </row>
    <row r="2" spans="1:8" ht="15.75" x14ac:dyDescent="0.25">
      <c r="A2" s="594" t="s">
        <v>764</v>
      </c>
      <c r="B2" s="594"/>
      <c r="C2" s="594"/>
      <c r="D2" s="594"/>
      <c r="E2" s="594"/>
      <c r="F2" s="594"/>
      <c r="G2" s="594"/>
      <c r="H2" s="594"/>
    </row>
    <row r="3" spans="1:8" ht="15.75" x14ac:dyDescent="0.25">
      <c r="A3" s="551" t="s">
        <v>126</v>
      </c>
      <c r="B3" s="551"/>
      <c r="C3" s="551"/>
      <c r="D3" s="551"/>
      <c r="E3" s="551"/>
      <c r="F3" s="551"/>
      <c r="G3" s="551"/>
      <c r="H3" s="551"/>
    </row>
    <row r="4" spans="1:8" ht="15.75" x14ac:dyDescent="0.25">
      <c r="H4" s="26" t="s">
        <v>56</v>
      </c>
    </row>
    <row r="5" spans="1:8" ht="15.75" x14ac:dyDescent="0.25">
      <c r="A5" s="595" t="s">
        <v>3</v>
      </c>
      <c r="B5" s="595" t="s">
        <v>4</v>
      </c>
      <c r="C5" s="595" t="s">
        <v>663</v>
      </c>
      <c r="D5" s="595"/>
      <c r="E5" s="595" t="s">
        <v>750</v>
      </c>
      <c r="F5" s="595"/>
      <c r="G5" s="595" t="s">
        <v>374</v>
      </c>
      <c r="H5" s="595"/>
    </row>
    <row r="6" spans="1:8" ht="31.5" x14ac:dyDescent="0.25">
      <c r="A6" s="595"/>
      <c r="B6" s="595"/>
      <c r="C6" s="29" t="s">
        <v>375</v>
      </c>
      <c r="D6" s="29" t="s">
        <v>376</v>
      </c>
      <c r="E6" s="29" t="s">
        <v>375</v>
      </c>
      <c r="F6" s="29" t="s">
        <v>376</v>
      </c>
      <c r="G6" s="29" t="s">
        <v>375</v>
      </c>
      <c r="H6" s="29" t="s">
        <v>376</v>
      </c>
    </row>
    <row r="7" spans="1:8" ht="15.75" x14ac:dyDescent="0.25">
      <c r="A7" s="29" t="s">
        <v>15</v>
      </c>
      <c r="B7" s="29" t="s">
        <v>16</v>
      </c>
      <c r="C7" s="29">
        <v>1</v>
      </c>
      <c r="D7" s="29">
        <v>2</v>
      </c>
      <c r="E7" s="29">
        <v>3</v>
      </c>
      <c r="F7" s="29">
        <v>4</v>
      </c>
      <c r="G7" s="29" t="s">
        <v>377</v>
      </c>
      <c r="H7" s="29" t="s">
        <v>378</v>
      </c>
    </row>
    <row r="8" spans="1:8" ht="15.75" x14ac:dyDescent="0.25">
      <c r="A8" s="29"/>
      <c r="B8" s="30" t="s">
        <v>765</v>
      </c>
      <c r="C8" s="29"/>
      <c r="D8" s="29"/>
      <c r="E8" s="29"/>
      <c r="F8" s="29"/>
      <c r="G8" s="29"/>
      <c r="H8" s="29"/>
    </row>
    <row r="9" spans="1:8" ht="15.75" x14ac:dyDescent="0.25">
      <c r="A9" s="29" t="s">
        <v>15</v>
      </c>
      <c r="B9" s="30" t="s">
        <v>766</v>
      </c>
      <c r="C9" s="28"/>
      <c r="D9" s="28"/>
      <c r="E9" s="28"/>
      <c r="F9" s="28"/>
      <c r="G9" s="28"/>
      <c r="H9" s="28"/>
    </row>
    <row r="10" spans="1:8" ht="15.75" x14ac:dyDescent="0.25">
      <c r="A10" s="29" t="s">
        <v>83</v>
      </c>
      <c r="B10" s="30" t="s">
        <v>65</v>
      </c>
      <c r="C10" s="28"/>
      <c r="D10" s="28"/>
      <c r="E10" s="28"/>
      <c r="F10" s="28"/>
      <c r="G10" s="28"/>
      <c r="H10" s="28"/>
    </row>
    <row r="11" spans="1:8" ht="15.75" x14ac:dyDescent="0.25">
      <c r="A11" s="590">
        <v>1</v>
      </c>
      <c r="B11" s="31" t="s">
        <v>380</v>
      </c>
      <c r="C11" s="590"/>
      <c r="D11" s="590"/>
      <c r="E11" s="590"/>
      <c r="F11" s="590"/>
      <c r="G11" s="590"/>
      <c r="H11" s="590"/>
    </row>
    <row r="12" spans="1:8" ht="15.75" x14ac:dyDescent="0.25">
      <c r="A12" s="590"/>
      <c r="B12" s="31" t="s">
        <v>381</v>
      </c>
      <c r="C12" s="590"/>
      <c r="D12" s="590"/>
      <c r="E12" s="590"/>
      <c r="F12" s="590"/>
      <c r="G12" s="590"/>
      <c r="H12" s="590"/>
    </row>
    <row r="13" spans="1:8" ht="15.75" x14ac:dyDescent="0.25">
      <c r="A13" s="590">
        <v>2</v>
      </c>
      <c r="B13" s="31" t="s">
        <v>767</v>
      </c>
      <c r="C13" s="590"/>
      <c r="D13" s="590"/>
      <c r="E13" s="590"/>
      <c r="F13" s="590"/>
      <c r="G13" s="590"/>
      <c r="H13" s="590"/>
    </row>
    <row r="14" spans="1:8" ht="15.75" x14ac:dyDescent="0.25">
      <c r="A14" s="590"/>
      <c r="B14" s="31" t="s">
        <v>381</v>
      </c>
      <c r="C14" s="590"/>
      <c r="D14" s="590"/>
      <c r="E14" s="590"/>
      <c r="F14" s="590"/>
      <c r="G14" s="590"/>
      <c r="H14" s="590"/>
    </row>
    <row r="15" spans="1:8" ht="31.5" x14ac:dyDescent="0.25">
      <c r="A15" s="590">
        <v>3</v>
      </c>
      <c r="B15" s="31" t="s">
        <v>277</v>
      </c>
      <c r="C15" s="590"/>
      <c r="D15" s="590"/>
      <c r="E15" s="590"/>
      <c r="F15" s="590"/>
      <c r="G15" s="590"/>
      <c r="H15" s="590"/>
    </row>
    <row r="16" spans="1:8" ht="15.75" x14ac:dyDescent="0.25">
      <c r="A16" s="590"/>
      <c r="B16" s="31" t="s">
        <v>381</v>
      </c>
      <c r="C16" s="590"/>
      <c r="D16" s="590"/>
      <c r="E16" s="590"/>
      <c r="F16" s="590"/>
      <c r="G16" s="590"/>
      <c r="H16" s="590"/>
    </row>
    <row r="17" spans="1:8" ht="15.75" x14ac:dyDescent="0.25">
      <c r="A17" s="590">
        <v>4</v>
      </c>
      <c r="B17" s="31" t="s">
        <v>278</v>
      </c>
      <c r="C17" s="590"/>
      <c r="D17" s="590"/>
      <c r="E17" s="590"/>
      <c r="F17" s="590"/>
      <c r="G17" s="590"/>
      <c r="H17" s="590"/>
    </row>
    <row r="18" spans="1:8" ht="15.75" x14ac:dyDescent="0.25">
      <c r="A18" s="590"/>
      <c r="B18" s="31" t="s">
        <v>381</v>
      </c>
      <c r="C18" s="590"/>
      <c r="D18" s="590"/>
      <c r="E18" s="590"/>
      <c r="F18" s="590"/>
      <c r="G18" s="590"/>
      <c r="H18" s="590"/>
    </row>
    <row r="19" spans="1:8" ht="15.75" x14ac:dyDescent="0.25">
      <c r="A19" s="28">
        <v>5</v>
      </c>
      <c r="B19" s="31" t="s">
        <v>279</v>
      </c>
      <c r="C19" s="28"/>
      <c r="D19" s="28"/>
      <c r="E19" s="28"/>
      <c r="F19" s="28"/>
      <c r="G19" s="28"/>
      <c r="H19" s="28"/>
    </row>
    <row r="20" spans="1:8" ht="15.75" x14ac:dyDescent="0.25">
      <c r="A20" s="28">
        <v>6</v>
      </c>
      <c r="B20" s="31" t="s">
        <v>280</v>
      </c>
      <c r="C20" s="28"/>
      <c r="D20" s="28"/>
      <c r="E20" s="28"/>
      <c r="F20" s="28"/>
      <c r="G20" s="28"/>
      <c r="H20" s="28"/>
    </row>
    <row r="21" spans="1:8" ht="31.5" x14ac:dyDescent="0.25">
      <c r="A21" s="28" t="s">
        <v>22</v>
      </c>
      <c r="B21" s="32" t="s">
        <v>768</v>
      </c>
      <c r="C21" s="28"/>
      <c r="D21" s="28"/>
      <c r="E21" s="28"/>
      <c r="F21" s="28"/>
      <c r="G21" s="28"/>
      <c r="H21" s="28"/>
    </row>
    <row r="22" spans="1:8" ht="15.75" x14ac:dyDescent="0.25">
      <c r="A22" s="28" t="s">
        <v>22</v>
      </c>
      <c r="B22" s="32" t="s">
        <v>408</v>
      </c>
      <c r="C22" s="28"/>
      <c r="D22" s="28"/>
      <c r="E22" s="28"/>
      <c r="F22" s="28"/>
      <c r="G22" s="28"/>
      <c r="H22" s="28"/>
    </row>
    <row r="23" spans="1:8" ht="15.75" x14ac:dyDescent="0.25">
      <c r="A23" s="28">
        <v>7</v>
      </c>
      <c r="B23" s="31" t="s">
        <v>457</v>
      </c>
      <c r="C23" s="28"/>
      <c r="D23" s="28"/>
      <c r="E23" s="28"/>
      <c r="F23" s="28"/>
      <c r="G23" s="28"/>
      <c r="H23" s="28"/>
    </row>
    <row r="24" spans="1:8" ht="15.75" x14ac:dyDescent="0.25">
      <c r="A24" s="28">
        <v>8</v>
      </c>
      <c r="B24" s="31" t="s">
        <v>769</v>
      </c>
      <c r="C24" s="28"/>
      <c r="D24" s="28"/>
      <c r="E24" s="28"/>
      <c r="F24" s="28"/>
      <c r="G24" s="28"/>
      <c r="H24" s="28"/>
    </row>
    <row r="25" spans="1:8" ht="15.75" x14ac:dyDescent="0.25">
      <c r="A25" s="28" t="s">
        <v>22</v>
      </c>
      <c r="B25" s="32" t="s">
        <v>458</v>
      </c>
      <c r="C25" s="28"/>
      <c r="D25" s="28"/>
      <c r="E25" s="28"/>
      <c r="F25" s="28"/>
      <c r="G25" s="28"/>
      <c r="H25" s="28"/>
    </row>
    <row r="26" spans="1:8" ht="15.75" x14ac:dyDescent="0.25">
      <c r="A26" s="28" t="s">
        <v>22</v>
      </c>
      <c r="B26" s="32" t="s">
        <v>459</v>
      </c>
      <c r="C26" s="28"/>
      <c r="D26" s="28"/>
      <c r="E26" s="28"/>
      <c r="F26" s="28"/>
      <c r="G26" s="28"/>
      <c r="H26" s="28"/>
    </row>
    <row r="27" spans="1:8" ht="15.75" x14ac:dyDescent="0.25">
      <c r="A27" s="28" t="s">
        <v>22</v>
      </c>
      <c r="B27" s="32" t="s">
        <v>460</v>
      </c>
      <c r="C27" s="28"/>
      <c r="D27" s="28"/>
      <c r="E27" s="28"/>
      <c r="F27" s="28"/>
      <c r="G27" s="28"/>
      <c r="H27" s="28"/>
    </row>
    <row r="28" spans="1:8" ht="15.75" x14ac:dyDescent="0.25">
      <c r="A28" s="28" t="s">
        <v>22</v>
      </c>
      <c r="B28" s="32" t="s">
        <v>770</v>
      </c>
      <c r="C28" s="28"/>
      <c r="D28" s="28"/>
      <c r="E28" s="28"/>
      <c r="F28" s="28"/>
      <c r="G28" s="28"/>
      <c r="H28" s="28"/>
    </row>
    <row r="29" spans="1:8" ht="15.75" x14ac:dyDescent="0.25">
      <c r="A29" s="28">
        <v>9</v>
      </c>
      <c r="B29" s="31" t="s">
        <v>393</v>
      </c>
      <c r="C29" s="28"/>
      <c r="D29" s="28"/>
      <c r="E29" s="28"/>
      <c r="F29" s="28"/>
      <c r="G29" s="28"/>
      <c r="H29" s="28"/>
    </row>
    <row r="30" spans="1:8" ht="15.75" x14ac:dyDescent="0.25">
      <c r="A30" s="28">
        <v>10</v>
      </c>
      <c r="B30" s="31" t="s">
        <v>394</v>
      </c>
      <c r="C30" s="28"/>
      <c r="D30" s="28"/>
      <c r="E30" s="28"/>
      <c r="F30" s="28"/>
      <c r="G30" s="28"/>
      <c r="H30" s="28"/>
    </row>
    <row r="31" spans="1:8" ht="15.75" x14ac:dyDescent="0.25">
      <c r="A31" s="28">
        <v>11</v>
      </c>
      <c r="B31" s="31" t="s">
        <v>395</v>
      </c>
      <c r="C31" s="28"/>
      <c r="D31" s="28"/>
      <c r="E31" s="28"/>
      <c r="F31" s="28"/>
      <c r="G31" s="28"/>
      <c r="H31" s="28"/>
    </row>
    <row r="32" spans="1:8" ht="15.75" x14ac:dyDescent="0.25">
      <c r="A32" s="28">
        <v>12</v>
      </c>
      <c r="B32" s="31" t="s">
        <v>282</v>
      </c>
      <c r="C32" s="28"/>
      <c r="D32" s="28"/>
      <c r="E32" s="28"/>
      <c r="F32" s="28"/>
      <c r="G32" s="28"/>
      <c r="H32" s="28"/>
    </row>
    <row r="33" spans="1:8" ht="31.5" x14ac:dyDescent="0.25">
      <c r="A33" s="28">
        <v>13</v>
      </c>
      <c r="B33" s="31" t="s">
        <v>771</v>
      </c>
      <c r="C33" s="28"/>
      <c r="D33" s="28"/>
      <c r="E33" s="28"/>
      <c r="F33" s="28"/>
      <c r="G33" s="28"/>
      <c r="H33" s="28"/>
    </row>
    <row r="34" spans="1:8" ht="15.75" x14ac:dyDescent="0.25">
      <c r="A34" s="590">
        <v>14</v>
      </c>
      <c r="B34" s="31" t="s">
        <v>397</v>
      </c>
      <c r="C34" s="590"/>
      <c r="D34" s="590"/>
      <c r="E34" s="590"/>
      <c r="F34" s="590"/>
      <c r="G34" s="590"/>
      <c r="H34" s="590"/>
    </row>
    <row r="35" spans="1:8" ht="15.75" x14ac:dyDescent="0.25">
      <c r="A35" s="590"/>
      <c r="B35" s="31" t="s">
        <v>381</v>
      </c>
      <c r="C35" s="590"/>
      <c r="D35" s="590"/>
      <c r="E35" s="590"/>
      <c r="F35" s="590"/>
      <c r="G35" s="590"/>
      <c r="H35" s="590"/>
    </row>
    <row r="36" spans="1:8" ht="15.75" x14ac:dyDescent="0.25">
      <c r="A36" s="28">
        <v>15</v>
      </c>
      <c r="B36" s="31" t="s">
        <v>398</v>
      </c>
      <c r="C36" s="28"/>
      <c r="D36" s="28"/>
      <c r="E36" s="28"/>
      <c r="F36" s="28"/>
      <c r="G36" s="28"/>
      <c r="H36" s="28"/>
    </row>
    <row r="37" spans="1:8" ht="15.75" x14ac:dyDescent="0.25">
      <c r="A37" s="28">
        <v>16</v>
      </c>
      <c r="B37" s="31" t="s">
        <v>399</v>
      </c>
      <c r="C37" s="28"/>
      <c r="D37" s="28"/>
      <c r="E37" s="28"/>
      <c r="F37" s="28"/>
      <c r="G37" s="28"/>
      <c r="H37" s="28"/>
    </row>
    <row r="38" spans="1:8" ht="15.75" x14ac:dyDescent="0.25">
      <c r="A38" s="28">
        <v>17</v>
      </c>
      <c r="B38" s="31" t="s">
        <v>400</v>
      </c>
      <c r="C38" s="28"/>
      <c r="D38" s="28"/>
      <c r="E38" s="28"/>
      <c r="F38" s="28"/>
      <c r="G38" s="28"/>
      <c r="H38" s="28"/>
    </row>
    <row r="39" spans="1:8" ht="15.75" x14ac:dyDescent="0.25">
      <c r="A39" s="28">
        <v>18</v>
      </c>
      <c r="B39" s="31" t="s">
        <v>401</v>
      </c>
      <c r="C39" s="28"/>
      <c r="D39" s="28"/>
      <c r="E39" s="28"/>
      <c r="F39" s="28"/>
      <c r="G39" s="28"/>
      <c r="H39" s="28"/>
    </row>
    <row r="40" spans="1:8" ht="47.25" x14ac:dyDescent="0.25">
      <c r="A40" s="28">
        <v>19</v>
      </c>
      <c r="B40" s="31" t="s">
        <v>772</v>
      </c>
      <c r="C40" s="28"/>
      <c r="D40" s="28"/>
      <c r="E40" s="28"/>
      <c r="F40" s="28"/>
      <c r="G40" s="28"/>
      <c r="H40" s="28"/>
    </row>
    <row r="41" spans="1:8" ht="15.75" x14ac:dyDescent="0.25">
      <c r="A41" s="28">
        <v>20</v>
      </c>
      <c r="B41" s="31" t="s">
        <v>402</v>
      </c>
      <c r="C41" s="28"/>
      <c r="D41" s="28"/>
      <c r="E41" s="28"/>
      <c r="F41" s="28"/>
      <c r="G41" s="28"/>
      <c r="H41" s="28"/>
    </row>
    <row r="42" spans="1:8" ht="15.75" x14ac:dyDescent="0.25">
      <c r="A42" s="29" t="s">
        <v>70</v>
      </c>
      <c r="B42" s="30" t="s">
        <v>285</v>
      </c>
      <c r="C42" s="28"/>
      <c r="D42" s="28"/>
      <c r="E42" s="28"/>
      <c r="F42" s="28"/>
      <c r="G42" s="28"/>
      <c r="H42" s="28"/>
    </row>
    <row r="43" spans="1:8" ht="15.75" x14ac:dyDescent="0.25">
      <c r="A43" s="29" t="s">
        <v>73</v>
      </c>
      <c r="B43" s="30" t="s">
        <v>773</v>
      </c>
      <c r="C43" s="28"/>
      <c r="D43" s="28"/>
      <c r="E43" s="28"/>
      <c r="F43" s="28"/>
      <c r="G43" s="28"/>
      <c r="H43" s="28"/>
    </row>
    <row r="44" spans="1:8" ht="15.75" x14ac:dyDescent="0.25">
      <c r="A44" s="28">
        <v>1</v>
      </c>
      <c r="B44" s="31" t="s">
        <v>466</v>
      </c>
      <c r="C44" s="28"/>
      <c r="D44" s="28"/>
      <c r="E44" s="28"/>
      <c r="F44" s="28"/>
      <c r="G44" s="28"/>
      <c r="H44" s="28"/>
    </row>
    <row r="45" spans="1:8" ht="15.75" x14ac:dyDescent="0.25">
      <c r="A45" s="28">
        <v>2</v>
      </c>
      <c r="B45" s="31" t="s">
        <v>406</v>
      </c>
      <c r="C45" s="28"/>
      <c r="D45" s="28"/>
      <c r="E45" s="28"/>
      <c r="F45" s="28"/>
      <c r="G45" s="28"/>
      <c r="H45" s="28"/>
    </row>
    <row r="46" spans="1:8" ht="15.75" x14ac:dyDescent="0.25">
      <c r="A46" s="28">
        <v>3</v>
      </c>
      <c r="B46" s="31" t="s">
        <v>774</v>
      </c>
      <c r="C46" s="28"/>
      <c r="D46" s="28"/>
      <c r="E46" s="28"/>
      <c r="F46" s="28"/>
      <c r="G46" s="28"/>
      <c r="H46" s="28"/>
    </row>
    <row r="47" spans="1:8" ht="15.75" x14ac:dyDescent="0.25">
      <c r="A47" s="28">
        <v>4</v>
      </c>
      <c r="B47" s="31" t="s">
        <v>775</v>
      </c>
      <c r="C47" s="28"/>
      <c r="D47" s="28"/>
      <c r="E47" s="28"/>
      <c r="F47" s="28"/>
      <c r="G47" s="28"/>
      <c r="H47" s="28"/>
    </row>
    <row r="48" spans="1:8" ht="15.75" x14ac:dyDescent="0.25">
      <c r="A48" s="28">
        <v>5</v>
      </c>
      <c r="B48" s="31" t="s">
        <v>776</v>
      </c>
      <c r="C48" s="28"/>
      <c r="D48" s="28"/>
      <c r="E48" s="28"/>
      <c r="F48" s="28"/>
      <c r="G48" s="28"/>
      <c r="H48" s="28"/>
    </row>
    <row r="49" spans="1:8" ht="15.75" x14ac:dyDescent="0.25">
      <c r="A49" s="28">
        <v>6</v>
      </c>
      <c r="B49" s="31" t="s">
        <v>409</v>
      </c>
      <c r="C49" s="28"/>
      <c r="D49" s="28"/>
      <c r="E49" s="28"/>
      <c r="F49" s="28"/>
      <c r="G49" s="28"/>
      <c r="H49" s="28"/>
    </row>
    <row r="50" spans="1:8" ht="15.75" x14ac:dyDescent="0.25">
      <c r="A50" s="29" t="s">
        <v>77</v>
      </c>
      <c r="B50" s="30" t="s">
        <v>410</v>
      </c>
      <c r="C50" s="28"/>
      <c r="D50" s="28"/>
      <c r="E50" s="28"/>
      <c r="F50" s="28"/>
      <c r="G50" s="28"/>
      <c r="H50" s="28"/>
    </row>
    <row r="51" spans="1:8" ht="15.75" x14ac:dyDescent="0.25">
      <c r="A51" s="29" t="s">
        <v>16</v>
      </c>
      <c r="B51" s="30" t="s">
        <v>777</v>
      </c>
      <c r="C51" s="28"/>
      <c r="D51" s="28"/>
      <c r="E51" s="28"/>
      <c r="F51" s="28"/>
      <c r="G51" s="28"/>
      <c r="H51" s="28"/>
    </row>
    <row r="52" spans="1:8" ht="15.75" x14ac:dyDescent="0.25">
      <c r="A52" s="29" t="s">
        <v>79</v>
      </c>
      <c r="B52" s="30" t="s">
        <v>778</v>
      </c>
      <c r="C52" s="28"/>
      <c r="D52" s="28"/>
      <c r="E52" s="28"/>
      <c r="F52" s="28"/>
      <c r="G52" s="28"/>
      <c r="H52" s="28"/>
    </row>
    <row r="53" spans="1:8" ht="31.5" x14ac:dyDescent="0.25">
      <c r="A53" s="29" t="s">
        <v>89</v>
      </c>
      <c r="B53" s="30" t="s">
        <v>779</v>
      </c>
      <c r="C53" s="28"/>
      <c r="D53" s="28"/>
      <c r="E53" s="28"/>
      <c r="F53" s="28"/>
      <c r="G53" s="28"/>
      <c r="H53" s="28"/>
    </row>
    <row r="54" spans="1:8" ht="21" customHeight="1" x14ac:dyDescent="0.25">
      <c r="A54" s="27" t="s">
        <v>288</v>
      </c>
    </row>
    <row r="55" spans="1:8" ht="36.75" customHeight="1" x14ac:dyDescent="0.25">
      <c r="A55" s="593" t="s">
        <v>469</v>
      </c>
      <c r="B55" s="593"/>
      <c r="C55" s="593"/>
      <c r="D55" s="593"/>
      <c r="E55" s="593"/>
      <c r="F55" s="593"/>
      <c r="G55" s="593"/>
      <c r="H55" s="593"/>
    </row>
    <row r="56" spans="1:8" ht="36.75" customHeight="1" x14ac:dyDescent="0.25">
      <c r="A56" s="593" t="s">
        <v>470</v>
      </c>
      <c r="B56" s="593"/>
      <c r="C56" s="593"/>
      <c r="D56" s="593"/>
      <c r="E56" s="593"/>
      <c r="F56" s="593"/>
      <c r="G56" s="593"/>
      <c r="H56" s="593"/>
    </row>
    <row r="57" spans="1:8" ht="49.5" customHeight="1" x14ac:dyDescent="0.25">
      <c r="A57" s="593" t="s">
        <v>471</v>
      </c>
      <c r="B57" s="593"/>
      <c r="C57" s="593"/>
      <c r="D57" s="593"/>
      <c r="E57" s="593"/>
      <c r="F57" s="593"/>
      <c r="G57" s="593"/>
      <c r="H57" s="593"/>
    </row>
    <row r="58" spans="1:8" ht="49.5" customHeight="1" x14ac:dyDescent="0.25">
      <c r="A58" s="593" t="s">
        <v>411</v>
      </c>
      <c r="B58" s="593"/>
      <c r="C58" s="593"/>
      <c r="D58" s="593"/>
      <c r="E58" s="593"/>
      <c r="F58" s="593"/>
      <c r="G58" s="593"/>
      <c r="H58" s="593"/>
    </row>
    <row r="59" spans="1:8" ht="69.75" customHeight="1" x14ac:dyDescent="0.25">
      <c r="A59" s="593" t="s">
        <v>412</v>
      </c>
      <c r="B59" s="593"/>
      <c r="C59" s="593"/>
      <c r="D59" s="593"/>
      <c r="E59" s="593"/>
      <c r="F59" s="593"/>
      <c r="G59" s="593"/>
      <c r="H59" s="593"/>
    </row>
  </sheetData>
  <mergeCells count="47">
    <mergeCell ref="A58:H58"/>
    <mergeCell ref="A59:H59"/>
    <mergeCell ref="H34:H35"/>
    <mergeCell ref="A2:H2"/>
    <mergeCell ref="A3:H3"/>
    <mergeCell ref="A55:H55"/>
    <mergeCell ref="A56:H56"/>
    <mergeCell ref="A57:H57"/>
    <mergeCell ref="A34:A35"/>
    <mergeCell ref="C34:C35"/>
    <mergeCell ref="A17:A18"/>
    <mergeCell ref="H17:H18"/>
    <mergeCell ref="A15:A16"/>
    <mergeCell ref="C15:C16"/>
    <mergeCell ref="D15:D16"/>
    <mergeCell ref="D34:D35"/>
    <mergeCell ref="E34:E35"/>
    <mergeCell ref="F34:F35"/>
    <mergeCell ref="G34:G35"/>
    <mergeCell ref="H15:H16"/>
    <mergeCell ref="C17:C18"/>
    <mergeCell ref="D17:D18"/>
    <mergeCell ref="E17:E18"/>
    <mergeCell ref="F17:F18"/>
    <mergeCell ref="G17:G18"/>
    <mergeCell ref="G13:G14"/>
    <mergeCell ref="H13:H14"/>
    <mergeCell ref="A11:A12"/>
    <mergeCell ref="E15:E16"/>
    <mergeCell ref="F15:F16"/>
    <mergeCell ref="G15:G16"/>
    <mergeCell ref="A13:A14"/>
    <mergeCell ref="C13:C14"/>
    <mergeCell ref="D13:D14"/>
    <mergeCell ref="E13:E14"/>
    <mergeCell ref="F13:F14"/>
    <mergeCell ref="A5:A6"/>
    <mergeCell ref="B5:B6"/>
    <mergeCell ref="C5:D5"/>
    <mergeCell ref="E5:F5"/>
    <mergeCell ref="G11:G12"/>
    <mergeCell ref="G5:H5"/>
    <mergeCell ref="C11:C12"/>
    <mergeCell ref="D11:D12"/>
    <mergeCell ref="E11:E12"/>
    <mergeCell ref="F11:F12"/>
    <mergeCell ref="H11:H1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00B0F0"/>
  </sheetPr>
  <dimension ref="A1:E33"/>
  <sheetViews>
    <sheetView workbookViewId="0">
      <selection activeCell="M17" sqref="M17"/>
    </sheetView>
  </sheetViews>
  <sheetFormatPr defaultRowHeight="15" x14ac:dyDescent="0.25"/>
  <cols>
    <col min="1" max="1" width="6.42578125" customWidth="1"/>
    <col min="2" max="2" width="50.7109375" customWidth="1"/>
    <col min="3" max="5" width="10.7109375" customWidth="1"/>
  </cols>
  <sheetData>
    <row r="1" spans="1:5" ht="15.75" x14ac:dyDescent="0.25">
      <c r="E1" s="25" t="s">
        <v>691</v>
      </c>
    </row>
    <row r="2" spans="1:5" ht="15.75" x14ac:dyDescent="0.25">
      <c r="A2" s="594" t="s">
        <v>780</v>
      </c>
      <c r="B2" s="594"/>
      <c r="C2" s="594"/>
      <c r="D2" s="594"/>
      <c r="E2" s="594"/>
    </row>
    <row r="3" spans="1:5" ht="15.75" x14ac:dyDescent="0.25">
      <c r="A3" s="594" t="s">
        <v>126</v>
      </c>
      <c r="B3" s="594"/>
      <c r="C3" s="594"/>
      <c r="D3" s="594"/>
      <c r="E3" s="594"/>
    </row>
    <row r="4" spans="1:5" ht="15.75" x14ac:dyDescent="0.25">
      <c r="E4" s="26" t="s">
        <v>56</v>
      </c>
    </row>
    <row r="5" spans="1:5" ht="41.25" customHeight="1" x14ac:dyDescent="0.25">
      <c r="A5" s="29" t="s">
        <v>3</v>
      </c>
      <c r="B5" s="29" t="s">
        <v>355</v>
      </c>
      <c r="C5" s="29" t="s">
        <v>663</v>
      </c>
      <c r="D5" s="29" t="s">
        <v>750</v>
      </c>
      <c r="E5" s="29" t="s">
        <v>374</v>
      </c>
    </row>
    <row r="6" spans="1:5" ht="15.75" x14ac:dyDescent="0.25">
      <c r="A6" s="29" t="s">
        <v>15</v>
      </c>
      <c r="B6" s="29" t="s">
        <v>16</v>
      </c>
      <c r="C6" s="29">
        <v>1</v>
      </c>
      <c r="D6" s="29">
        <v>2</v>
      </c>
      <c r="E6" s="29" t="s">
        <v>269</v>
      </c>
    </row>
    <row r="7" spans="1:5" ht="15.75" x14ac:dyDescent="0.25">
      <c r="A7" s="29"/>
      <c r="B7" s="30" t="s">
        <v>781</v>
      </c>
      <c r="C7" s="31"/>
      <c r="D7" s="31"/>
      <c r="E7" s="31"/>
    </row>
    <row r="8" spans="1:5" ht="15.75" x14ac:dyDescent="0.25">
      <c r="A8" s="29" t="s">
        <v>15</v>
      </c>
      <c r="B8" s="30" t="s">
        <v>782</v>
      </c>
      <c r="C8" s="31"/>
      <c r="D8" s="31"/>
      <c r="E8" s="31"/>
    </row>
    <row r="9" spans="1:5" ht="15.75" x14ac:dyDescent="0.25">
      <c r="A9" s="29" t="s">
        <v>83</v>
      </c>
      <c r="B9" s="30" t="s">
        <v>367</v>
      </c>
      <c r="C9" s="31"/>
      <c r="D9" s="31"/>
      <c r="E9" s="31"/>
    </row>
    <row r="10" spans="1:5" ht="15.75" x14ac:dyDescent="0.25">
      <c r="A10" s="28">
        <v>1</v>
      </c>
      <c r="B10" s="31" t="s">
        <v>783</v>
      </c>
      <c r="C10" s="31"/>
      <c r="D10" s="31"/>
      <c r="E10" s="31"/>
    </row>
    <row r="11" spans="1:5" ht="15.75" x14ac:dyDescent="0.25">
      <c r="A11" s="28"/>
      <c r="B11" s="32" t="s">
        <v>418</v>
      </c>
      <c r="C11" s="31"/>
      <c r="D11" s="31"/>
      <c r="E11" s="31"/>
    </row>
    <row r="12" spans="1:5" ht="15.75" x14ac:dyDescent="0.25">
      <c r="A12" s="28" t="s">
        <v>22</v>
      </c>
      <c r="B12" s="32" t="s">
        <v>419</v>
      </c>
      <c r="C12" s="31"/>
      <c r="D12" s="31"/>
      <c r="E12" s="31"/>
    </row>
    <row r="13" spans="1:5" ht="15.75" x14ac:dyDescent="0.25">
      <c r="A13" s="28" t="s">
        <v>22</v>
      </c>
      <c r="B13" s="32" t="s">
        <v>659</v>
      </c>
      <c r="C13" s="31"/>
      <c r="D13" s="31"/>
      <c r="E13" s="31"/>
    </row>
    <row r="14" spans="1:5" ht="15.75" x14ac:dyDescent="0.25">
      <c r="A14" s="28"/>
      <c r="B14" s="32" t="s">
        <v>421</v>
      </c>
      <c r="C14" s="31"/>
      <c r="D14" s="31"/>
      <c r="E14" s="31"/>
    </row>
    <row r="15" spans="1:5" ht="15.75" x14ac:dyDescent="0.25">
      <c r="A15" s="28" t="s">
        <v>22</v>
      </c>
      <c r="B15" s="32" t="s">
        <v>422</v>
      </c>
      <c r="C15" s="31"/>
      <c r="D15" s="31"/>
      <c r="E15" s="31"/>
    </row>
    <row r="16" spans="1:5" ht="15.75" x14ac:dyDescent="0.25">
      <c r="A16" s="28" t="s">
        <v>22</v>
      </c>
      <c r="B16" s="32" t="s">
        <v>548</v>
      </c>
      <c r="C16" s="31"/>
      <c r="D16" s="31"/>
      <c r="E16" s="31"/>
    </row>
    <row r="17" spans="1:5" ht="63" x14ac:dyDescent="0.25">
      <c r="A17" s="28">
        <v>2</v>
      </c>
      <c r="B17" s="31" t="s">
        <v>424</v>
      </c>
      <c r="C17" s="31"/>
      <c r="D17" s="31"/>
      <c r="E17" s="31"/>
    </row>
    <row r="18" spans="1:5" ht="15.75" x14ac:dyDescent="0.25">
      <c r="A18" s="28">
        <v>3</v>
      </c>
      <c r="B18" s="31" t="s">
        <v>425</v>
      </c>
      <c r="C18" s="31"/>
      <c r="D18" s="31"/>
      <c r="E18" s="31"/>
    </row>
    <row r="19" spans="1:5" ht="15.75" x14ac:dyDescent="0.25">
      <c r="A19" s="29" t="s">
        <v>70</v>
      </c>
      <c r="B19" s="30" t="s">
        <v>96</v>
      </c>
      <c r="C19" s="31"/>
      <c r="D19" s="31"/>
      <c r="E19" s="31"/>
    </row>
    <row r="20" spans="1:5" ht="15.75" x14ac:dyDescent="0.25">
      <c r="A20" s="28"/>
      <c r="B20" s="32" t="s">
        <v>134</v>
      </c>
      <c r="C20" s="31"/>
      <c r="D20" s="31"/>
      <c r="E20" s="31"/>
    </row>
    <row r="21" spans="1:5" ht="15.75" x14ac:dyDescent="0.25">
      <c r="A21" s="28">
        <v>1</v>
      </c>
      <c r="B21" s="32" t="s">
        <v>419</v>
      </c>
      <c r="C21" s="31"/>
      <c r="D21" s="31"/>
      <c r="E21" s="31"/>
    </row>
    <row r="22" spans="1:5" ht="15.75" x14ac:dyDescent="0.25">
      <c r="A22" s="28">
        <v>2</v>
      </c>
      <c r="B22" s="32" t="s">
        <v>420</v>
      </c>
      <c r="C22" s="31"/>
      <c r="D22" s="31"/>
      <c r="E22" s="31"/>
    </row>
    <row r="23" spans="1:5" ht="31.5" x14ac:dyDescent="0.25">
      <c r="A23" s="29" t="s">
        <v>73</v>
      </c>
      <c r="B23" s="30" t="s">
        <v>97</v>
      </c>
      <c r="C23" s="31"/>
      <c r="D23" s="31"/>
      <c r="E23" s="31"/>
    </row>
    <row r="24" spans="1:5" ht="15.75" x14ac:dyDescent="0.25">
      <c r="A24" s="29" t="s">
        <v>77</v>
      </c>
      <c r="B24" s="30" t="s">
        <v>246</v>
      </c>
      <c r="C24" s="31"/>
      <c r="D24" s="31"/>
      <c r="E24" s="31"/>
    </row>
    <row r="25" spans="1:5" ht="15.75" x14ac:dyDescent="0.25">
      <c r="A25" s="29" t="s">
        <v>113</v>
      </c>
      <c r="B25" s="30" t="s">
        <v>247</v>
      </c>
      <c r="C25" s="31"/>
      <c r="D25" s="31"/>
      <c r="E25" s="31"/>
    </row>
    <row r="26" spans="1:5" ht="15.75" x14ac:dyDescent="0.25">
      <c r="A26" s="29" t="s">
        <v>426</v>
      </c>
      <c r="B26" s="30" t="s">
        <v>98</v>
      </c>
      <c r="C26" s="31"/>
      <c r="D26" s="31"/>
      <c r="E26" s="31"/>
    </row>
    <row r="27" spans="1:5" ht="15.75" x14ac:dyDescent="0.25">
      <c r="A27" s="29" t="s">
        <v>16</v>
      </c>
      <c r="B27" s="30" t="s">
        <v>428</v>
      </c>
      <c r="C27" s="31"/>
      <c r="D27" s="31"/>
      <c r="E27" s="31"/>
    </row>
    <row r="28" spans="1:5" ht="15.75" x14ac:dyDescent="0.25">
      <c r="A28" s="29" t="s">
        <v>83</v>
      </c>
      <c r="B28" s="30" t="s">
        <v>249</v>
      </c>
      <c r="C28" s="31"/>
      <c r="D28" s="31"/>
      <c r="E28" s="31"/>
    </row>
    <row r="29" spans="1:5" ht="15.75" x14ac:dyDescent="0.25">
      <c r="A29" s="28"/>
      <c r="B29" s="31" t="s">
        <v>429</v>
      </c>
      <c r="C29" s="31"/>
      <c r="D29" s="31"/>
      <c r="E29" s="31"/>
    </row>
    <row r="30" spans="1:5" ht="15.75" x14ac:dyDescent="0.25">
      <c r="A30" s="29" t="s">
        <v>70</v>
      </c>
      <c r="B30" s="30" t="s">
        <v>660</v>
      </c>
      <c r="C30" s="31"/>
      <c r="D30" s="31"/>
      <c r="E30" s="31"/>
    </row>
    <row r="31" spans="1:5" ht="15.75" x14ac:dyDescent="0.25">
      <c r="A31" s="28"/>
      <c r="B31" s="31" t="s">
        <v>430</v>
      </c>
      <c r="C31" s="31"/>
      <c r="D31" s="31"/>
      <c r="E31" s="31"/>
    </row>
    <row r="32" spans="1:5" ht="15.75" x14ac:dyDescent="0.25">
      <c r="A32" s="29" t="s">
        <v>79</v>
      </c>
      <c r="B32" s="30" t="s">
        <v>476</v>
      </c>
      <c r="C32" s="31"/>
      <c r="D32" s="31"/>
      <c r="E32" s="31"/>
    </row>
    <row r="33" spans="1:5" ht="60" customHeight="1" x14ac:dyDescent="0.25">
      <c r="A33" s="592" t="s">
        <v>549</v>
      </c>
      <c r="B33" s="592"/>
      <c r="C33" s="592"/>
      <c r="D33" s="592"/>
      <c r="E33" s="592"/>
    </row>
  </sheetData>
  <mergeCells count="3">
    <mergeCell ref="A33:E33"/>
    <mergeCell ref="A2:E2"/>
    <mergeCell ref="A3:E3"/>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00B0F0"/>
  </sheetPr>
  <dimension ref="A1:F49"/>
  <sheetViews>
    <sheetView topLeftCell="A3" workbookViewId="0">
      <selection activeCell="M17" sqref="M17"/>
    </sheetView>
  </sheetViews>
  <sheetFormatPr defaultRowHeight="15" x14ac:dyDescent="0.25"/>
  <cols>
    <col min="1" max="1" width="6.28515625" customWidth="1"/>
    <col min="2" max="2" width="47" customWidth="1"/>
    <col min="3" max="6" width="10.28515625" customWidth="1"/>
  </cols>
  <sheetData>
    <row r="1" spans="1:6" ht="15.75" x14ac:dyDescent="0.25">
      <c r="F1" s="25" t="s">
        <v>692</v>
      </c>
    </row>
    <row r="2" spans="1:6" ht="15.75" x14ac:dyDescent="0.25">
      <c r="A2" s="594" t="s">
        <v>784</v>
      </c>
      <c r="B2" s="594"/>
      <c r="C2" s="594"/>
      <c r="D2" s="594"/>
      <c r="E2" s="594"/>
      <c r="F2" s="594"/>
    </row>
    <row r="3" spans="1:6" ht="15.75" x14ac:dyDescent="0.25">
      <c r="A3" s="594" t="s">
        <v>126</v>
      </c>
      <c r="B3" s="594"/>
      <c r="C3" s="594"/>
      <c r="D3" s="594"/>
      <c r="E3" s="594"/>
      <c r="F3" s="594"/>
    </row>
    <row r="4" spans="1:6" ht="15.75" x14ac:dyDescent="0.25">
      <c r="F4" s="26" t="s">
        <v>56</v>
      </c>
    </row>
    <row r="5" spans="1:6" ht="15.75" x14ac:dyDescent="0.25">
      <c r="A5" s="595" t="s">
        <v>3</v>
      </c>
      <c r="B5" s="595" t="s">
        <v>4</v>
      </c>
      <c r="C5" s="595" t="s">
        <v>663</v>
      </c>
      <c r="D5" s="595" t="s">
        <v>750</v>
      </c>
      <c r="E5" s="595" t="s">
        <v>229</v>
      </c>
      <c r="F5" s="595"/>
    </row>
    <row r="6" spans="1:6" ht="31.5" x14ac:dyDescent="0.25">
      <c r="A6" s="595"/>
      <c r="B6" s="595"/>
      <c r="C6" s="595"/>
      <c r="D6" s="595"/>
      <c r="E6" s="29" t="s">
        <v>233</v>
      </c>
      <c r="F6" s="29" t="s">
        <v>415</v>
      </c>
    </row>
    <row r="7" spans="1:6" ht="15.75" x14ac:dyDescent="0.25">
      <c r="A7" s="29" t="s">
        <v>15</v>
      </c>
      <c r="B7" s="29" t="s">
        <v>16</v>
      </c>
      <c r="C7" s="29">
        <v>1</v>
      </c>
      <c r="D7" s="29">
        <v>2</v>
      </c>
      <c r="E7" s="29" t="s">
        <v>359</v>
      </c>
      <c r="F7" s="29" t="s">
        <v>360</v>
      </c>
    </row>
    <row r="8" spans="1:6" ht="15.75" x14ac:dyDescent="0.25">
      <c r="A8" s="29"/>
      <c r="B8" s="30" t="s">
        <v>90</v>
      </c>
      <c r="C8" s="28"/>
      <c r="D8" s="28"/>
      <c r="E8" s="28"/>
      <c r="F8" s="28"/>
    </row>
    <row r="9" spans="1:6" ht="31.5" x14ac:dyDescent="0.25">
      <c r="A9" s="29" t="s">
        <v>15</v>
      </c>
      <c r="B9" s="30" t="s">
        <v>552</v>
      </c>
      <c r="C9" s="28"/>
      <c r="D9" s="28"/>
      <c r="E9" s="28"/>
      <c r="F9" s="28"/>
    </row>
    <row r="10" spans="1:6" ht="31.5" x14ac:dyDescent="0.25">
      <c r="A10" s="29" t="s">
        <v>16</v>
      </c>
      <c r="B10" s="30" t="s">
        <v>553</v>
      </c>
      <c r="C10" s="28"/>
      <c r="D10" s="28"/>
      <c r="E10" s="28"/>
      <c r="F10" s="28"/>
    </row>
    <row r="11" spans="1:6" ht="15.75" x14ac:dyDescent="0.25">
      <c r="A11" s="29" t="s">
        <v>83</v>
      </c>
      <c r="B11" s="30" t="s">
        <v>554</v>
      </c>
      <c r="C11" s="28"/>
      <c r="D11" s="28"/>
      <c r="E11" s="28"/>
      <c r="F11" s="28"/>
    </row>
    <row r="12" spans="1:6" ht="15.75" x14ac:dyDescent="0.25">
      <c r="A12" s="28">
        <v>1</v>
      </c>
      <c r="B12" s="31" t="s">
        <v>417</v>
      </c>
      <c r="C12" s="28"/>
      <c r="D12" s="28"/>
      <c r="E12" s="28"/>
      <c r="F12" s="28"/>
    </row>
    <row r="13" spans="1:6" ht="15.75" x14ac:dyDescent="0.25">
      <c r="A13" s="28" t="s">
        <v>22</v>
      </c>
      <c r="B13" s="31" t="s">
        <v>419</v>
      </c>
      <c r="C13" s="28"/>
      <c r="D13" s="28"/>
      <c r="E13" s="28"/>
      <c r="F13" s="28"/>
    </row>
    <row r="14" spans="1:6" ht="15.75" x14ac:dyDescent="0.25">
      <c r="A14" s="28" t="s">
        <v>22</v>
      </c>
      <c r="B14" s="31" t="s">
        <v>420</v>
      </c>
      <c r="C14" s="28"/>
      <c r="D14" s="28"/>
      <c r="E14" s="28"/>
      <c r="F14" s="28"/>
    </row>
    <row r="15" spans="1:6" ht="15.75" x14ac:dyDescent="0.25">
      <c r="A15" s="28" t="s">
        <v>22</v>
      </c>
      <c r="B15" s="31" t="s">
        <v>555</v>
      </c>
      <c r="C15" s="28"/>
      <c r="D15" s="28"/>
      <c r="E15" s="28"/>
      <c r="F15" s="28"/>
    </row>
    <row r="16" spans="1:6" ht="15.75" x14ac:dyDescent="0.25">
      <c r="A16" s="28" t="s">
        <v>22</v>
      </c>
      <c r="B16" s="31" t="s">
        <v>556</v>
      </c>
      <c r="C16" s="28"/>
      <c r="D16" s="28"/>
      <c r="E16" s="28"/>
      <c r="F16" s="28"/>
    </row>
    <row r="17" spans="1:6" ht="15.75" x14ac:dyDescent="0.25">
      <c r="A17" s="28" t="s">
        <v>22</v>
      </c>
      <c r="B17" s="31" t="s">
        <v>557</v>
      </c>
      <c r="C17" s="28"/>
      <c r="D17" s="28"/>
      <c r="E17" s="28"/>
      <c r="F17" s="28"/>
    </row>
    <row r="18" spans="1:6" ht="15.75" x14ac:dyDescent="0.25">
      <c r="A18" s="28" t="s">
        <v>22</v>
      </c>
      <c r="B18" s="31" t="s">
        <v>558</v>
      </c>
      <c r="C18" s="28"/>
      <c r="D18" s="28"/>
      <c r="E18" s="28"/>
      <c r="F18" s="28"/>
    </row>
    <row r="19" spans="1:6" ht="15.75" x14ac:dyDescent="0.25">
      <c r="A19" s="28" t="s">
        <v>22</v>
      </c>
      <c r="B19" s="31" t="s">
        <v>559</v>
      </c>
      <c r="C19" s="28"/>
      <c r="D19" s="28"/>
      <c r="E19" s="28"/>
      <c r="F19" s="28"/>
    </row>
    <row r="20" spans="1:6" ht="15.75" x14ac:dyDescent="0.25">
      <c r="A20" s="28" t="s">
        <v>22</v>
      </c>
      <c r="B20" s="31" t="s">
        <v>560</v>
      </c>
      <c r="C20" s="28"/>
      <c r="D20" s="28"/>
      <c r="E20" s="28"/>
      <c r="F20" s="28"/>
    </row>
    <row r="21" spans="1:6" ht="15.75" x14ac:dyDescent="0.25">
      <c r="A21" s="28" t="s">
        <v>22</v>
      </c>
      <c r="B21" s="31" t="s">
        <v>561</v>
      </c>
      <c r="C21" s="28"/>
      <c r="D21" s="28"/>
      <c r="E21" s="28"/>
      <c r="F21" s="28"/>
    </row>
    <row r="22" spans="1:6" ht="15.75" x14ac:dyDescent="0.25">
      <c r="A22" s="28" t="s">
        <v>22</v>
      </c>
      <c r="B22" s="31" t="s">
        <v>562</v>
      </c>
      <c r="C22" s="28"/>
      <c r="D22" s="28"/>
      <c r="E22" s="28"/>
      <c r="F22" s="28"/>
    </row>
    <row r="23" spans="1:6" ht="31.5" x14ac:dyDescent="0.25">
      <c r="A23" s="28" t="s">
        <v>22</v>
      </c>
      <c r="B23" s="31" t="s">
        <v>563</v>
      </c>
      <c r="C23" s="28"/>
      <c r="D23" s="28"/>
      <c r="E23" s="28"/>
      <c r="F23" s="28"/>
    </row>
    <row r="24" spans="1:6" ht="15.75" x14ac:dyDescent="0.25">
      <c r="A24" s="28" t="s">
        <v>22</v>
      </c>
      <c r="B24" s="31" t="s">
        <v>564</v>
      </c>
      <c r="C24" s="28"/>
      <c r="D24" s="28"/>
      <c r="E24" s="28"/>
      <c r="F24" s="28"/>
    </row>
    <row r="25" spans="1:6" ht="15.75" x14ac:dyDescent="0.25">
      <c r="A25" s="28" t="s">
        <v>22</v>
      </c>
      <c r="B25" s="31" t="s">
        <v>565</v>
      </c>
      <c r="C25" s="28"/>
      <c r="D25" s="28"/>
      <c r="E25" s="28"/>
      <c r="F25" s="28"/>
    </row>
    <row r="26" spans="1:6" ht="63" x14ac:dyDescent="0.25">
      <c r="A26" s="28">
        <v>2</v>
      </c>
      <c r="B26" s="31" t="s">
        <v>424</v>
      </c>
      <c r="C26" s="28"/>
      <c r="D26" s="28"/>
      <c r="E26" s="28"/>
      <c r="F26" s="28"/>
    </row>
    <row r="27" spans="1:6" ht="15.75" x14ac:dyDescent="0.25">
      <c r="A27" s="28">
        <v>3</v>
      </c>
      <c r="B27" s="31" t="s">
        <v>425</v>
      </c>
      <c r="C27" s="28"/>
      <c r="D27" s="28"/>
      <c r="E27" s="28"/>
      <c r="F27" s="28"/>
    </row>
    <row r="28" spans="1:6" ht="15.75" x14ac:dyDescent="0.25">
      <c r="A28" s="29" t="s">
        <v>70</v>
      </c>
      <c r="B28" s="30" t="s">
        <v>96</v>
      </c>
      <c r="C28" s="28"/>
      <c r="D28" s="28"/>
      <c r="E28" s="28"/>
      <c r="F28" s="28"/>
    </row>
    <row r="29" spans="1:6" ht="15.75" x14ac:dyDescent="0.25">
      <c r="A29" s="28" t="s">
        <v>22</v>
      </c>
      <c r="B29" s="31" t="s">
        <v>419</v>
      </c>
      <c r="C29" s="28"/>
      <c r="D29" s="28"/>
      <c r="E29" s="28"/>
      <c r="F29" s="28"/>
    </row>
    <row r="30" spans="1:6" ht="15.75" x14ac:dyDescent="0.25">
      <c r="A30" s="28" t="s">
        <v>22</v>
      </c>
      <c r="B30" s="31" t="s">
        <v>475</v>
      </c>
      <c r="C30" s="28"/>
      <c r="D30" s="28"/>
      <c r="E30" s="28"/>
      <c r="F30" s="28"/>
    </row>
    <row r="31" spans="1:6" ht="15.75" x14ac:dyDescent="0.25">
      <c r="A31" s="28" t="s">
        <v>22</v>
      </c>
      <c r="B31" s="31" t="s">
        <v>555</v>
      </c>
      <c r="C31" s="28"/>
      <c r="D31" s="28"/>
      <c r="E31" s="28"/>
      <c r="F31" s="28"/>
    </row>
    <row r="32" spans="1:6" ht="15.75" x14ac:dyDescent="0.25">
      <c r="A32" s="28" t="s">
        <v>22</v>
      </c>
      <c r="B32" s="31" t="s">
        <v>556</v>
      </c>
      <c r="C32" s="28"/>
      <c r="D32" s="28"/>
      <c r="E32" s="28"/>
      <c r="F32" s="28"/>
    </row>
    <row r="33" spans="1:6" ht="15.75" x14ac:dyDescent="0.25">
      <c r="A33" s="28" t="s">
        <v>22</v>
      </c>
      <c r="B33" s="31" t="s">
        <v>557</v>
      </c>
      <c r="C33" s="28"/>
      <c r="D33" s="28"/>
      <c r="E33" s="28"/>
      <c r="F33" s="28"/>
    </row>
    <row r="34" spans="1:6" ht="15.75" x14ac:dyDescent="0.25">
      <c r="A34" s="28" t="s">
        <v>22</v>
      </c>
      <c r="B34" s="31" t="s">
        <v>558</v>
      </c>
      <c r="C34" s="28"/>
      <c r="D34" s="28"/>
      <c r="E34" s="28"/>
      <c r="F34" s="28"/>
    </row>
    <row r="35" spans="1:6" ht="15.75" x14ac:dyDescent="0.25">
      <c r="A35" s="28" t="s">
        <v>22</v>
      </c>
      <c r="B35" s="31" t="s">
        <v>559</v>
      </c>
      <c r="C35" s="28"/>
      <c r="D35" s="28"/>
      <c r="E35" s="28"/>
      <c r="F35" s="28"/>
    </row>
    <row r="36" spans="1:6" ht="15.75" x14ac:dyDescent="0.25">
      <c r="A36" s="28" t="s">
        <v>22</v>
      </c>
      <c r="B36" s="31" t="s">
        <v>560</v>
      </c>
      <c r="C36" s="28"/>
      <c r="D36" s="28"/>
      <c r="E36" s="28"/>
      <c r="F36" s="28"/>
    </row>
    <row r="37" spans="1:6" ht="15.75" x14ac:dyDescent="0.25">
      <c r="A37" s="28" t="s">
        <v>22</v>
      </c>
      <c r="B37" s="31" t="s">
        <v>561</v>
      </c>
      <c r="C37" s="28"/>
      <c r="D37" s="28"/>
      <c r="E37" s="28"/>
      <c r="F37" s="28"/>
    </row>
    <row r="38" spans="1:6" ht="15.75" x14ac:dyDescent="0.25">
      <c r="A38" s="28" t="s">
        <v>22</v>
      </c>
      <c r="B38" s="31" t="s">
        <v>562</v>
      </c>
      <c r="C38" s="28"/>
      <c r="D38" s="28"/>
      <c r="E38" s="28"/>
      <c r="F38" s="28"/>
    </row>
    <row r="39" spans="1:6" ht="31.5" x14ac:dyDescent="0.25">
      <c r="A39" s="28" t="s">
        <v>22</v>
      </c>
      <c r="B39" s="31" t="s">
        <v>563</v>
      </c>
      <c r="C39" s="28"/>
      <c r="D39" s="28"/>
      <c r="E39" s="28"/>
      <c r="F39" s="28"/>
    </row>
    <row r="40" spans="1:6" ht="15.75" x14ac:dyDescent="0.25">
      <c r="A40" s="28" t="s">
        <v>22</v>
      </c>
      <c r="B40" s="31" t="s">
        <v>564</v>
      </c>
      <c r="C40" s="28"/>
      <c r="D40" s="28"/>
      <c r="E40" s="28"/>
      <c r="F40" s="28"/>
    </row>
    <row r="41" spans="1:6" ht="15.75" x14ac:dyDescent="0.25">
      <c r="A41" s="28" t="s">
        <v>22</v>
      </c>
      <c r="B41" s="31" t="s">
        <v>566</v>
      </c>
      <c r="C41" s="28"/>
      <c r="D41" s="28"/>
      <c r="E41" s="28"/>
      <c r="F41" s="28"/>
    </row>
    <row r="42" spans="1:6" ht="31.5" x14ac:dyDescent="0.25">
      <c r="A42" s="29" t="s">
        <v>73</v>
      </c>
      <c r="B42" s="30" t="s">
        <v>438</v>
      </c>
      <c r="C42" s="28"/>
      <c r="D42" s="28"/>
      <c r="E42" s="28"/>
      <c r="F42" s="28"/>
    </row>
    <row r="43" spans="1:6" ht="15.75" x14ac:dyDescent="0.25">
      <c r="A43" s="29" t="s">
        <v>77</v>
      </c>
      <c r="B43" s="30" t="s">
        <v>439</v>
      </c>
      <c r="C43" s="28"/>
      <c r="D43" s="28"/>
      <c r="E43" s="28"/>
      <c r="F43" s="28"/>
    </row>
    <row r="44" spans="1:6" ht="15.75" x14ac:dyDescent="0.25">
      <c r="A44" s="29" t="s">
        <v>113</v>
      </c>
      <c r="B44" s="30" t="s">
        <v>247</v>
      </c>
      <c r="C44" s="28"/>
      <c r="D44" s="28"/>
      <c r="E44" s="28"/>
      <c r="F44" s="28"/>
    </row>
    <row r="45" spans="1:6" ht="15.75" x14ac:dyDescent="0.25">
      <c r="A45" s="29" t="s">
        <v>426</v>
      </c>
      <c r="B45" s="30" t="s">
        <v>98</v>
      </c>
      <c r="C45" s="28"/>
      <c r="D45" s="28"/>
      <c r="E45" s="28"/>
      <c r="F45" s="28"/>
    </row>
    <row r="46" spans="1:6" ht="15.75" x14ac:dyDescent="0.25">
      <c r="A46" s="29" t="s">
        <v>79</v>
      </c>
      <c r="B46" s="30" t="s">
        <v>476</v>
      </c>
      <c r="C46" s="28"/>
      <c r="D46" s="28"/>
      <c r="E46" s="28"/>
      <c r="F46" s="28"/>
    </row>
    <row r="47" spans="1:6" ht="20.25" customHeight="1" x14ac:dyDescent="0.25">
      <c r="A47" s="27" t="s">
        <v>649</v>
      </c>
    </row>
    <row r="48" spans="1:6" ht="23.25" customHeight="1" x14ac:dyDescent="0.25">
      <c r="A48" s="33" t="s">
        <v>568</v>
      </c>
    </row>
    <row r="49" spans="1:6" ht="54" customHeight="1" x14ac:dyDescent="0.25">
      <c r="A49" s="593" t="s">
        <v>567</v>
      </c>
      <c r="B49" s="593"/>
      <c r="C49" s="593"/>
      <c r="D49" s="593"/>
      <c r="E49" s="593"/>
      <c r="F49" s="593"/>
    </row>
  </sheetData>
  <mergeCells count="8">
    <mergeCell ref="A2:F2"/>
    <mergeCell ref="A3:F3"/>
    <mergeCell ref="A49:F49"/>
    <mergeCell ref="A5:A6"/>
    <mergeCell ref="B5:B6"/>
    <mergeCell ref="C5:C6"/>
    <mergeCell ref="D5:D6"/>
    <mergeCell ref="E5:F5"/>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00B0F0"/>
  </sheetPr>
  <dimension ref="A1:K34"/>
  <sheetViews>
    <sheetView workbookViewId="0">
      <selection activeCell="M17" sqref="M17"/>
    </sheetView>
  </sheetViews>
  <sheetFormatPr defaultRowHeight="15" x14ac:dyDescent="0.25"/>
  <cols>
    <col min="1" max="1" width="6.7109375" customWidth="1"/>
    <col min="2" max="2" width="34.7109375" customWidth="1"/>
  </cols>
  <sheetData>
    <row r="1" spans="1:11" ht="15.75" x14ac:dyDescent="0.25">
      <c r="K1" s="25" t="s">
        <v>693</v>
      </c>
    </row>
    <row r="2" spans="1:11" ht="34.5" customHeight="1" x14ac:dyDescent="0.25">
      <c r="A2" s="594" t="s">
        <v>785</v>
      </c>
      <c r="B2" s="594"/>
      <c r="C2" s="594"/>
      <c r="D2" s="594"/>
      <c r="E2" s="594"/>
      <c r="F2" s="594"/>
      <c r="G2" s="594"/>
      <c r="H2" s="594"/>
      <c r="I2" s="594"/>
      <c r="J2" s="594"/>
      <c r="K2" s="594"/>
    </row>
    <row r="3" spans="1:11" x14ac:dyDescent="0.25">
      <c r="A3" s="594" t="s">
        <v>512</v>
      </c>
      <c r="B3" s="649"/>
      <c r="C3" s="649"/>
      <c r="D3" s="649"/>
      <c r="E3" s="649"/>
      <c r="F3" s="649"/>
      <c r="G3" s="649"/>
      <c r="H3" s="649"/>
      <c r="I3" s="649"/>
      <c r="J3" s="649"/>
      <c r="K3" s="649"/>
    </row>
    <row r="4" spans="1:11" ht="15.75" x14ac:dyDescent="0.25">
      <c r="K4" s="26" t="s">
        <v>56</v>
      </c>
    </row>
    <row r="5" spans="1:11" ht="15.75" x14ac:dyDescent="0.25">
      <c r="A5" s="595" t="s">
        <v>3</v>
      </c>
      <c r="B5" s="595" t="s">
        <v>355</v>
      </c>
      <c r="C5" s="595" t="s">
        <v>356</v>
      </c>
      <c r="D5" s="595" t="s">
        <v>523</v>
      </c>
      <c r="E5" s="595"/>
      <c r="F5" s="595" t="s">
        <v>750</v>
      </c>
      <c r="G5" s="595" t="s">
        <v>523</v>
      </c>
      <c r="H5" s="595"/>
      <c r="I5" s="595" t="s">
        <v>374</v>
      </c>
      <c r="J5" s="595"/>
      <c r="K5" s="595"/>
    </row>
    <row r="6" spans="1:11" ht="63" x14ac:dyDescent="0.25">
      <c r="A6" s="595"/>
      <c r="B6" s="595"/>
      <c r="C6" s="595"/>
      <c r="D6" s="29" t="s">
        <v>131</v>
      </c>
      <c r="E6" s="29" t="s">
        <v>132</v>
      </c>
      <c r="F6" s="595"/>
      <c r="G6" s="29" t="s">
        <v>131</v>
      </c>
      <c r="H6" s="29" t="s">
        <v>132</v>
      </c>
      <c r="I6" s="29" t="s">
        <v>542</v>
      </c>
      <c r="J6" s="29" t="s">
        <v>131</v>
      </c>
      <c r="K6" s="29" t="s">
        <v>132</v>
      </c>
    </row>
    <row r="7" spans="1:11" ht="15.75" x14ac:dyDescent="0.25">
      <c r="A7" s="29" t="s">
        <v>15</v>
      </c>
      <c r="B7" s="29" t="s">
        <v>16</v>
      </c>
      <c r="C7" s="29" t="s">
        <v>543</v>
      </c>
      <c r="D7" s="29">
        <v>2</v>
      </c>
      <c r="E7" s="29">
        <v>3</v>
      </c>
      <c r="F7" s="29" t="s">
        <v>544</v>
      </c>
      <c r="G7" s="29">
        <v>5</v>
      </c>
      <c r="H7" s="29">
        <v>6</v>
      </c>
      <c r="I7" s="29" t="s">
        <v>545</v>
      </c>
      <c r="J7" s="29" t="s">
        <v>546</v>
      </c>
      <c r="K7" s="29" t="s">
        <v>547</v>
      </c>
    </row>
    <row r="8" spans="1:11" ht="15.75" x14ac:dyDescent="0.25">
      <c r="A8" s="29"/>
      <c r="B8" s="30" t="s">
        <v>90</v>
      </c>
      <c r="C8" s="28"/>
      <c r="D8" s="28"/>
      <c r="E8" s="28"/>
      <c r="F8" s="28"/>
      <c r="G8" s="28"/>
      <c r="H8" s="28"/>
      <c r="I8" s="28"/>
      <c r="J8" s="28"/>
      <c r="K8" s="28"/>
    </row>
    <row r="9" spans="1:11" ht="15.75" x14ac:dyDescent="0.25">
      <c r="A9" s="29" t="s">
        <v>15</v>
      </c>
      <c r="B9" s="30" t="s">
        <v>416</v>
      </c>
      <c r="C9" s="28"/>
      <c r="D9" s="28"/>
      <c r="E9" s="28"/>
      <c r="F9" s="28"/>
      <c r="G9" s="28"/>
      <c r="H9" s="28"/>
      <c r="I9" s="28"/>
      <c r="J9" s="28"/>
      <c r="K9" s="28"/>
    </row>
    <row r="10" spans="1:11" ht="15.75" x14ac:dyDescent="0.25">
      <c r="A10" s="29" t="s">
        <v>83</v>
      </c>
      <c r="B10" s="30" t="s">
        <v>367</v>
      </c>
      <c r="C10" s="28"/>
      <c r="D10" s="28"/>
      <c r="E10" s="28"/>
      <c r="F10" s="28"/>
      <c r="G10" s="28"/>
      <c r="H10" s="28"/>
      <c r="I10" s="28"/>
      <c r="J10" s="28"/>
      <c r="K10" s="28"/>
    </row>
    <row r="11" spans="1:11" ht="15.75" x14ac:dyDescent="0.25">
      <c r="A11" s="28">
        <v>1</v>
      </c>
      <c r="B11" s="31" t="s">
        <v>417</v>
      </c>
      <c r="C11" s="28"/>
      <c r="D11" s="28"/>
      <c r="E11" s="28"/>
      <c r="F11" s="28"/>
      <c r="G11" s="28"/>
      <c r="H11" s="28"/>
      <c r="I11" s="28"/>
      <c r="J11" s="28"/>
      <c r="K11" s="28"/>
    </row>
    <row r="12" spans="1:11" ht="15.75" x14ac:dyDescent="0.25">
      <c r="A12" s="28"/>
      <c r="B12" s="32" t="s">
        <v>418</v>
      </c>
      <c r="C12" s="28"/>
      <c r="D12" s="28"/>
      <c r="E12" s="28"/>
      <c r="F12" s="28"/>
      <c r="G12" s="28"/>
      <c r="H12" s="28"/>
      <c r="I12" s="28"/>
      <c r="J12" s="28"/>
      <c r="K12" s="28"/>
    </row>
    <row r="13" spans="1:11" ht="15.75" x14ac:dyDescent="0.25">
      <c r="A13" s="28" t="s">
        <v>22</v>
      </c>
      <c r="B13" s="32" t="s">
        <v>419</v>
      </c>
      <c r="C13" s="28"/>
      <c r="D13" s="28"/>
      <c r="E13" s="28"/>
      <c r="F13" s="28"/>
      <c r="G13" s="28"/>
      <c r="H13" s="28"/>
      <c r="I13" s="28"/>
      <c r="J13" s="28"/>
      <c r="K13" s="28"/>
    </row>
    <row r="14" spans="1:11" ht="15.75" x14ac:dyDescent="0.25">
      <c r="A14" s="28" t="s">
        <v>22</v>
      </c>
      <c r="B14" s="32" t="s">
        <v>420</v>
      </c>
      <c r="C14" s="28"/>
      <c r="D14" s="28"/>
      <c r="E14" s="28"/>
      <c r="F14" s="28"/>
      <c r="G14" s="28"/>
      <c r="H14" s="28"/>
      <c r="I14" s="28"/>
      <c r="J14" s="28"/>
      <c r="K14" s="28"/>
    </row>
    <row r="15" spans="1:11" ht="15.75" x14ac:dyDescent="0.25">
      <c r="A15" s="28"/>
      <c r="B15" s="32" t="s">
        <v>421</v>
      </c>
      <c r="C15" s="28"/>
      <c r="D15" s="28"/>
      <c r="E15" s="28"/>
      <c r="F15" s="28"/>
      <c r="G15" s="28"/>
      <c r="H15" s="28"/>
      <c r="I15" s="28"/>
      <c r="J15" s="28"/>
      <c r="K15" s="28"/>
    </row>
    <row r="16" spans="1:11" ht="31.5" x14ac:dyDescent="0.25">
      <c r="A16" s="28" t="s">
        <v>22</v>
      </c>
      <c r="B16" s="32" t="s">
        <v>422</v>
      </c>
      <c r="C16" s="28"/>
      <c r="D16" s="28"/>
      <c r="E16" s="28"/>
      <c r="F16" s="28"/>
      <c r="G16" s="28"/>
      <c r="H16" s="28"/>
      <c r="I16" s="28"/>
      <c r="J16" s="28"/>
      <c r="K16" s="28"/>
    </row>
    <row r="17" spans="1:11" ht="31.5" x14ac:dyDescent="0.25">
      <c r="A17" s="28" t="s">
        <v>22</v>
      </c>
      <c r="B17" s="32" t="s">
        <v>548</v>
      </c>
      <c r="C17" s="28"/>
      <c r="D17" s="28"/>
      <c r="E17" s="28"/>
      <c r="F17" s="28"/>
      <c r="G17" s="28"/>
      <c r="H17" s="28"/>
      <c r="I17" s="28"/>
      <c r="J17" s="28"/>
      <c r="K17" s="28"/>
    </row>
    <row r="18" spans="1:11" ht="94.5" x14ac:dyDescent="0.25">
      <c r="A18" s="28">
        <v>2</v>
      </c>
      <c r="B18" s="31" t="s">
        <v>424</v>
      </c>
      <c r="C18" s="28"/>
      <c r="D18" s="28"/>
      <c r="E18" s="28"/>
      <c r="F18" s="28"/>
      <c r="G18" s="28"/>
      <c r="H18" s="28"/>
      <c r="I18" s="28"/>
      <c r="J18" s="28"/>
      <c r="K18" s="28"/>
    </row>
    <row r="19" spans="1:11" ht="15.75" x14ac:dyDescent="0.25">
      <c r="A19" s="28">
        <v>3</v>
      </c>
      <c r="B19" s="31" t="s">
        <v>425</v>
      </c>
      <c r="C19" s="28"/>
      <c r="D19" s="28"/>
      <c r="E19" s="28"/>
      <c r="F19" s="28"/>
      <c r="G19" s="28"/>
      <c r="H19" s="28"/>
      <c r="I19" s="28"/>
      <c r="J19" s="28"/>
      <c r="K19" s="28"/>
    </row>
    <row r="20" spans="1:11" ht="15.75" x14ac:dyDescent="0.25">
      <c r="A20" s="29" t="s">
        <v>70</v>
      </c>
      <c r="B20" s="30" t="s">
        <v>96</v>
      </c>
      <c r="C20" s="28"/>
      <c r="D20" s="28"/>
      <c r="E20" s="28"/>
      <c r="F20" s="28"/>
      <c r="G20" s="28"/>
      <c r="H20" s="28"/>
      <c r="I20" s="28"/>
      <c r="J20" s="28"/>
      <c r="K20" s="28"/>
    </row>
    <row r="21" spans="1:11" ht="15.75" x14ac:dyDescent="0.25">
      <c r="A21" s="28"/>
      <c r="B21" s="32" t="s">
        <v>134</v>
      </c>
      <c r="C21" s="28"/>
      <c r="D21" s="28"/>
      <c r="E21" s="28"/>
      <c r="F21" s="28"/>
      <c r="G21" s="28"/>
      <c r="H21" s="28"/>
      <c r="I21" s="28"/>
      <c r="J21" s="28"/>
      <c r="K21" s="28"/>
    </row>
    <row r="22" spans="1:11" ht="15.75" x14ac:dyDescent="0.25">
      <c r="A22" s="28">
        <v>1</v>
      </c>
      <c r="B22" s="32" t="s">
        <v>419</v>
      </c>
      <c r="C22" s="28"/>
      <c r="D22" s="28"/>
      <c r="E22" s="28"/>
      <c r="F22" s="28"/>
      <c r="G22" s="28"/>
      <c r="H22" s="28"/>
      <c r="I22" s="28"/>
      <c r="J22" s="28"/>
      <c r="K22" s="28"/>
    </row>
    <row r="23" spans="1:11" ht="15.75" x14ac:dyDescent="0.25">
      <c r="A23" s="28">
        <v>2</v>
      </c>
      <c r="B23" s="32" t="s">
        <v>420</v>
      </c>
      <c r="C23" s="28"/>
      <c r="D23" s="28"/>
      <c r="E23" s="28"/>
      <c r="F23" s="28"/>
      <c r="G23" s="28"/>
      <c r="H23" s="28"/>
      <c r="I23" s="28"/>
      <c r="J23" s="28"/>
      <c r="K23" s="28"/>
    </row>
    <row r="24" spans="1:11" ht="31.5" x14ac:dyDescent="0.25">
      <c r="A24" s="29" t="s">
        <v>73</v>
      </c>
      <c r="B24" s="30" t="s">
        <v>97</v>
      </c>
      <c r="C24" s="28"/>
      <c r="D24" s="28"/>
      <c r="E24" s="28"/>
      <c r="F24" s="28"/>
      <c r="G24" s="28"/>
      <c r="H24" s="28"/>
      <c r="I24" s="28"/>
      <c r="J24" s="28"/>
      <c r="K24" s="28"/>
    </row>
    <row r="25" spans="1:11" ht="15.75" x14ac:dyDescent="0.25">
      <c r="A25" s="29" t="s">
        <v>77</v>
      </c>
      <c r="B25" s="30" t="s">
        <v>246</v>
      </c>
      <c r="C25" s="28"/>
      <c r="D25" s="28"/>
      <c r="E25" s="28"/>
      <c r="F25" s="28"/>
      <c r="G25" s="28"/>
      <c r="H25" s="28"/>
      <c r="I25" s="28"/>
      <c r="J25" s="28"/>
      <c r="K25" s="28"/>
    </row>
    <row r="26" spans="1:11" ht="15.75" x14ac:dyDescent="0.25">
      <c r="A26" s="29" t="s">
        <v>113</v>
      </c>
      <c r="B26" s="30" t="s">
        <v>247</v>
      </c>
      <c r="C26" s="28"/>
      <c r="D26" s="28"/>
      <c r="E26" s="28"/>
      <c r="F26" s="28"/>
      <c r="G26" s="28"/>
      <c r="H26" s="28"/>
      <c r="I26" s="28"/>
      <c r="J26" s="28"/>
      <c r="K26" s="28"/>
    </row>
    <row r="27" spans="1:11" ht="31.5" x14ac:dyDescent="0.25">
      <c r="A27" s="29" t="s">
        <v>426</v>
      </c>
      <c r="B27" s="30" t="s">
        <v>98</v>
      </c>
      <c r="C27" s="28"/>
      <c r="D27" s="28"/>
      <c r="E27" s="28"/>
      <c r="F27" s="28"/>
      <c r="G27" s="28"/>
      <c r="H27" s="28"/>
      <c r="I27" s="28"/>
      <c r="J27" s="28"/>
      <c r="K27" s="28"/>
    </row>
    <row r="28" spans="1:11" ht="31.5" x14ac:dyDescent="0.25">
      <c r="A28" s="29" t="s">
        <v>16</v>
      </c>
      <c r="B28" s="30" t="s">
        <v>428</v>
      </c>
      <c r="C28" s="28"/>
      <c r="D28" s="28"/>
      <c r="E28" s="28"/>
      <c r="F28" s="28"/>
      <c r="G28" s="28"/>
      <c r="H28" s="28"/>
      <c r="I28" s="28"/>
      <c r="J28" s="28"/>
      <c r="K28" s="28"/>
    </row>
    <row r="29" spans="1:11" ht="31.5" x14ac:dyDescent="0.25">
      <c r="A29" s="29" t="s">
        <v>83</v>
      </c>
      <c r="B29" s="30" t="s">
        <v>249</v>
      </c>
      <c r="C29" s="28"/>
      <c r="D29" s="28"/>
      <c r="E29" s="28"/>
      <c r="F29" s="28"/>
      <c r="G29" s="28"/>
      <c r="H29" s="28"/>
      <c r="I29" s="28"/>
      <c r="J29" s="28"/>
      <c r="K29" s="28"/>
    </row>
    <row r="30" spans="1:11" ht="31.5" x14ac:dyDescent="0.25">
      <c r="A30" s="28"/>
      <c r="B30" s="31" t="s">
        <v>429</v>
      </c>
      <c r="C30" s="28"/>
      <c r="D30" s="28"/>
      <c r="E30" s="28"/>
      <c r="F30" s="28"/>
      <c r="G30" s="28"/>
      <c r="H30" s="28"/>
      <c r="I30" s="28"/>
      <c r="J30" s="28"/>
      <c r="K30" s="28"/>
    </row>
    <row r="31" spans="1:11" ht="31.5" x14ac:dyDescent="0.25">
      <c r="A31" s="29" t="s">
        <v>70</v>
      </c>
      <c r="B31" s="30" t="s">
        <v>250</v>
      </c>
      <c r="C31" s="28"/>
      <c r="D31" s="28"/>
      <c r="E31" s="28"/>
      <c r="F31" s="28"/>
      <c r="G31" s="28"/>
      <c r="H31" s="28"/>
      <c r="I31" s="28"/>
      <c r="J31" s="28"/>
      <c r="K31" s="28"/>
    </row>
    <row r="32" spans="1:11" ht="31.5" x14ac:dyDescent="0.25">
      <c r="A32" s="28"/>
      <c r="B32" s="31" t="s">
        <v>430</v>
      </c>
      <c r="C32" s="28"/>
      <c r="D32" s="28"/>
      <c r="E32" s="28"/>
      <c r="F32" s="28"/>
      <c r="G32" s="28"/>
      <c r="H32" s="28"/>
      <c r="I32" s="28"/>
      <c r="J32" s="28"/>
      <c r="K32" s="28"/>
    </row>
    <row r="33" spans="1:11" ht="31.5" x14ac:dyDescent="0.25">
      <c r="A33" s="29" t="s">
        <v>79</v>
      </c>
      <c r="B33" s="30" t="s">
        <v>476</v>
      </c>
      <c r="C33" s="28"/>
      <c r="D33" s="28"/>
      <c r="E33" s="28"/>
      <c r="F33" s="28"/>
      <c r="G33" s="28"/>
      <c r="H33" s="28"/>
      <c r="I33" s="28"/>
      <c r="J33" s="28"/>
      <c r="K33" s="28"/>
    </row>
    <row r="34" spans="1:11" ht="49.5" customHeight="1" x14ac:dyDescent="0.25">
      <c r="A34" s="650" t="s">
        <v>549</v>
      </c>
      <c r="B34" s="650"/>
      <c r="C34" s="650"/>
      <c r="D34" s="650"/>
      <c r="E34" s="650"/>
      <c r="F34" s="650"/>
      <c r="G34" s="650"/>
      <c r="H34" s="650"/>
      <c r="I34" s="650"/>
      <c r="J34" s="650"/>
      <c r="K34" s="650"/>
    </row>
  </sheetData>
  <mergeCells count="10">
    <mergeCell ref="I5:K5"/>
    <mergeCell ref="A2:K2"/>
    <mergeCell ref="A3:K3"/>
    <mergeCell ref="A34:K34"/>
    <mergeCell ref="A5:A6"/>
    <mergeCell ref="B5:B6"/>
    <mergeCell ref="C5:C6"/>
    <mergeCell ref="D5:E5"/>
    <mergeCell ref="F5:F6"/>
    <mergeCell ref="G5: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39997558519241921"/>
  </sheetPr>
  <dimension ref="A1:M27"/>
  <sheetViews>
    <sheetView workbookViewId="0">
      <selection activeCell="E33" sqref="E33"/>
    </sheetView>
  </sheetViews>
  <sheetFormatPr defaultColWidth="9.28515625" defaultRowHeight="15" x14ac:dyDescent="0.25"/>
  <cols>
    <col min="1" max="1" width="6" style="1" customWidth="1"/>
    <col min="2" max="2" width="37.28515625" style="1" customWidth="1"/>
    <col min="3" max="16384" width="9.28515625" style="1"/>
  </cols>
  <sheetData>
    <row r="1" spans="1:13" x14ac:dyDescent="0.25">
      <c r="A1" s="559" t="s">
        <v>178</v>
      </c>
      <c r="B1" s="559"/>
      <c r="C1" s="559"/>
      <c r="D1" s="559"/>
      <c r="E1" s="559"/>
      <c r="F1" s="559"/>
      <c r="G1" s="559"/>
      <c r="H1" s="559"/>
      <c r="I1" s="559"/>
      <c r="J1" s="559"/>
      <c r="K1" s="559"/>
      <c r="L1" s="559"/>
      <c r="M1" s="559"/>
    </row>
    <row r="2" spans="1:13" ht="41.25" customHeight="1" x14ac:dyDescent="0.25">
      <c r="A2" s="554" t="s">
        <v>179</v>
      </c>
      <c r="B2" s="554"/>
      <c r="C2" s="554"/>
      <c r="D2" s="554"/>
      <c r="E2" s="554"/>
      <c r="F2" s="554"/>
      <c r="G2" s="554"/>
      <c r="H2" s="554"/>
      <c r="I2" s="554"/>
      <c r="J2" s="554"/>
      <c r="K2" s="554"/>
      <c r="L2" s="554"/>
      <c r="M2" s="554"/>
    </row>
    <row r="3" spans="1:13" x14ac:dyDescent="0.25">
      <c r="A3" s="560" t="s">
        <v>126</v>
      </c>
      <c r="B3" s="560"/>
      <c r="C3" s="560"/>
      <c r="D3" s="560"/>
      <c r="E3" s="560"/>
      <c r="F3" s="560"/>
      <c r="G3" s="560"/>
      <c r="H3" s="560"/>
      <c r="I3" s="560"/>
      <c r="J3" s="560"/>
      <c r="K3" s="560"/>
      <c r="L3" s="560"/>
      <c r="M3" s="560"/>
    </row>
    <row r="4" spans="1:13" x14ac:dyDescent="0.25">
      <c r="K4" s="561" t="s">
        <v>56</v>
      </c>
      <c r="L4" s="561"/>
      <c r="M4" s="561"/>
    </row>
    <row r="5" spans="1:13" ht="23.25" customHeight="1" x14ac:dyDescent="0.25">
      <c r="A5" s="558" t="s">
        <v>3</v>
      </c>
      <c r="B5" s="558" t="s">
        <v>180</v>
      </c>
      <c r="C5" s="558" t="s">
        <v>181</v>
      </c>
      <c r="D5" s="558" t="s">
        <v>182</v>
      </c>
      <c r="E5" s="558" t="s">
        <v>183</v>
      </c>
      <c r="F5" s="558" t="s">
        <v>184</v>
      </c>
      <c r="G5" s="558"/>
      <c r="H5" s="558"/>
      <c r="I5" s="558" t="s">
        <v>185</v>
      </c>
      <c r="J5" s="558"/>
      <c r="K5" s="558" t="s">
        <v>186</v>
      </c>
      <c r="L5" s="558"/>
      <c r="M5" s="558" t="s">
        <v>129</v>
      </c>
    </row>
    <row r="6" spans="1:13" ht="36.75" customHeight="1" x14ac:dyDescent="0.25">
      <c r="A6" s="558"/>
      <c r="B6" s="558"/>
      <c r="C6" s="558"/>
      <c r="D6" s="558"/>
      <c r="E6" s="558"/>
      <c r="F6" s="558" t="s">
        <v>187</v>
      </c>
      <c r="G6" s="558" t="s">
        <v>188</v>
      </c>
      <c r="H6" s="558"/>
      <c r="I6" s="558"/>
      <c r="J6" s="558"/>
      <c r="K6" s="558"/>
      <c r="L6" s="558"/>
      <c r="M6" s="558"/>
    </row>
    <row r="7" spans="1:13" ht="71.25" x14ac:dyDescent="0.25">
      <c r="A7" s="558"/>
      <c r="B7" s="558"/>
      <c r="C7" s="558"/>
      <c r="D7" s="558"/>
      <c r="E7" s="558"/>
      <c r="F7" s="558"/>
      <c r="G7" s="2" t="s">
        <v>189</v>
      </c>
      <c r="H7" s="2" t="s">
        <v>190</v>
      </c>
      <c r="I7" s="2" t="s">
        <v>130</v>
      </c>
      <c r="J7" s="2" t="s">
        <v>190</v>
      </c>
      <c r="K7" s="2" t="s">
        <v>130</v>
      </c>
      <c r="L7" s="2" t="s">
        <v>190</v>
      </c>
      <c r="M7" s="558"/>
    </row>
    <row r="8" spans="1:13" x14ac:dyDescent="0.25">
      <c r="A8" s="2" t="s">
        <v>15</v>
      </c>
      <c r="B8" s="2" t="s">
        <v>16</v>
      </c>
      <c r="C8" s="2">
        <v>1</v>
      </c>
      <c r="D8" s="2">
        <v>2</v>
      </c>
      <c r="E8" s="2">
        <v>3</v>
      </c>
      <c r="F8" s="2">
        <v>4</v>
      </c>
      <c r="G8" s="2">
        <v>5</v>
      </c>
      <c r="H8" s="2">
        <v>6</v>
      </c>
      <c r="I8" s="2">
        <v>7</v>
      </c>
      <c r="J8" s="2">
        <v>8</v>
      </c>
      <c r="K8" s="2">
        <v>9</v>
      </c>
      <c r="L8" s="2">
        <v>10</v>
      </c>
      <c r="M8" s="2">
        <v>11</v>
      </c>
    </row>
    <row r="9" spans="1:13" x14ac:dyDescent="0.25">
      <c r="A9" s="2"/>
      <c r="B9" s="2" t="s">
        <v>130</v>
      </c>
      <c r="C9" s="2"/>
      <c r="D9" s="2"/>
      <c r="E9" s="2"/>
      <c r="F9" s="2"/>
      <c r="G9" s="2"/>
      <c r="H9" s="2"/>
      <c r="I9" s="2"/>
      <c r="J9" s="2"/>
      <c r="K9" s="2"/>
      <c r="L9" s="2"/>
      <c r="M9" s="2"/>
    </row>
    <row r="10" spans="1:13" x14ac:dyDescent="0.25">
      <c r="A10" s="2" t="s">
        <v>15</v>
      </c>
      <c r="B10" s="568" t="s">
        <v>191</v>
      </c>
      <c r="C10" s="568"/>
      <c r="D10" s="568"/>
      <c r="E10" s="568"/>
      <c r="F10" s="3"/>
      <c r="G10" s="3"/>
      <c r="H10" s="3"/>
      <c r="I10" s="3"/>
      <c r="J10" s="3"/>
      <c r="K10" s="3"/>
      <c r="L10" s="3"/>
      <c r="M10" s="3"/>
    </row>
    <row r="11" spans="1:13" x14ac:dyDescent="0.25">
      <c r="A11" s="2" t="s">
        <v>83</v>
      </c>
      <c r="B11" s="568" t="s">
        <v>192</v>
      </c>
      <c r="C11" s="568"/>
      <c r="D11" s="568"/>
      <c r="E11" s="3"/>
      <c r="F11" s="3"/>
      <c r="G11" s="3"/>
      <c r="H11" s="3"/>
      <c r="I11" s="3"/>
      <c r="J11" s="3"/>
      <c r="K11" s="3"/>
      <c r="L11" s="3"/>
      <c r="M11" s="3"/>
    </row>
    <row r="12" spans="1:13" x14ac:dyDescent="0.25">
      <c r="A12" s="2">
        <v>1</v>
      </c>
      <c r="B12" s="14" t="s">
        <v>193</v>
      </c>
      <c r="C12" s="3"/>
      <c r="D12" s="3"/>
      <c r="E12" s="3"/>
      <c r="F12" s="3"/>
      <c r="G12" s="3"/>
      <c r="H12" s="3"/>
      <c r="I12" s="3"/>
      <c r="J12" s="3"/>
      <c r="K12" s="3"/>
      <c r="L12" s="3"/>
      <c r="M12" s="3"/>
    </row>
    <row r="13" spans="1:13" x14ac:dyDescent="0.25">
      <c r="A13" s="3" t="s">
        <v>22</v>
      </c>
      <c r="B13" s="4" t="s">
        <v>194</v>
      </c>
      <c r="C13" s="3"/>
      <c r="D13" s="3"/>
      <c r="E13" s="3"/>
      <c r="F13" s="3"/>
      <c r="G13" s="3"/>
      <c r="H13" s="3"/>
      <c r="I13" s="3"/>
      <c r="J13" s="3"/>
      <c r="K13" s="3"/>
      <c r="L13" s="3"/>
      <c r="M13" s="3"/>
    </row>
    <row r="14" spans="1:13" x14ac:dyDescent="0.25">
      <c r="A14" s="3" t="s">
        <v>22</v>
      </c>
      <c r="B14" s="4" t="s">
        <v>177</v>
      </c>
      <c r="C14" s="3"/>
      <c r="D14" s="3"/>
      <c r="E14" s="3"/>
      <c r="F14" s="3"/>
      <c r="G14" s="3"/>
      <c r="H14" s="3"/>
      <c r="I14" s="3"/>
      <c r="J14" s="3"/>
      <c r="K14" s="3"/>
      <c r="L14" s="3"/>
      <c r="M14" s="3"/>
    </row>
    <row r="15" spans="1:13" x14ac:dyDescent="0.25">
      <c r="A15" s="2">
        <v>2</v>
      </c>
      <c r="B15" s="14" t="s">
        <v>195</v>
      </c>
      <c r="C15" s="3"/>
      <c r="D15" s="3"/>
      <c r="E15" s="3"/>
      <c r="F15" s="3"/>
      <c r="G15" s="3"/>
      <c r="H15" s="3"/>
      <c r="I15" s="3"/>
      <c r="J15" s="3"/>
      <c r="K15" s="3"/>
      <c r="L15" s="3"/>
      <c r="M15" s="3"/>
    </row>
    <row r="16" spans="1:13" x14ac:dyDescent="0.25">
      <c r="A16" s="2" t="s">
        <v>144</v>
      </c>
      <c r="B16" s="568" t="s">
        <v>196</v>
      </c>
      <c r="C16" s="568"/>
      <c r="D16" s="568"/>
      <c r="E16" s="568"/>
      <c r="F16" s="568"/>
      <c r="G16" s="568"/>
      <c r="H16" s="3"/>
      <c r="I16" s="3"/>
      <c r="J16" s="3"/>
      <c r="K16" s="3"/>
      <c r="L16" s="3"/>
      <c r="M16" s="3"/>
    </row>
    <row r="17" spans="1:13" x14ac:dyDescent="0.25">
      <c r="A17" s="3" t="s">
        <v>22</v>
      </c>
      <c r="B17" s="4" t="s">
        <v>197</v>
      </c>
      <c r="C17" s="3"/>
      <c r="D17" s="3"/>
      <c r="E17" s="3"/>
      <c r="F17" s="3"/>
      <c r="G17" s="3"/>
      <c r="H17" s="3"/>
      <c r="I17" s="3"/>
      <c r="J17" s="3"/>
      <c r="K17" s="3"/>
      <c r="L17" s="3"/>
      <c r="M17" s="3"/>
    </row>
    <row r="18" spans="1:13" x14ac:dyDescent="0.25">
      <c r="A18" s="3" t="s">
        <v>22</v>
      </c>
      <c r="B18" s="4" t="s">
        <v>198</v>
      </c>
      <c r="C18" s="3"/>
      <c r="D18" s="3"/>
      <c r="E18" s="3"/>
      <c r="F18" s="3"/>
      <c r="G18" s="3"/>
      <c r="H18" s="3"/>
      <c r="I18" s="3"/>
      <c r="J18" s="3"/>
      <c r="K18" s="3"/>
      <c r="L18" s="3"/>
      <c r="M18" s="3"/>
    </row>
    <row r="19" spans="1:13" x14ac:dyDescent="0.25">
      <c r="A19" s="2" t="s">
        <v>146</v>
      </c>
      <c r="B19" s="568" t="s">
        <v>199</v>
      </c>
      <c r="C19" s="568"/>
      <c r="D19" s="568"/>
      <c r="E19" s="568"/>
      <c r="F19" s="3"/>
      <c r="G19" s="3"/>
      <c r="H19" s="3"/>
      <c r="I19" s="3"/>
      <c r="J19" s="3"/>
      <c r="K19" s="3"/>
      <c r="L19" s="3"/>
      <c r="M19" s="3"/>
    </row>
    <row r="20" spans="1:13" x14ac:dyDescent="0.25">
      <c r="A20" s="3" t="s">
        <v>22</v>
      </c>
      <c r="B20" s="4" t="s">
        <v>200</v>
      </c>
      <c r="C20" s="3"/>
      <c r="D20" s="3"/>
      <c r="E20" s="3"/>
      <c r="F20" s="3"/>
      <c r="G20" s="3"/>
      <c r="H20" s="3"/>
      <c r="I20" s="3"/>
      <c r="J20" s="3"/>
      <c r="K20" s="3"/>
      <c r="L20" s="3"/>
      <c r="M20" s="3"/>
    </row>
    <row r="21" spans="1:13" x14ac:dyDescent="0.25">
      <c r="A21" s="3" t="s">
        <v>22</v>
      </c>
      <c r="B21" s="4" t="s">
        <v>201</v>
      </c>
      <c r="C21" s="3"/>
      <c r="D21" s="3"/>
      <c r="E21" s="3"/>
      <c r="F21" s="3"/>
      <c r="G21" s="3"/>
      <c r="H21" s="3"/>
      <c r="I21" s="3"/>
      <c r="J21" s="3"/>
      <c r="K21" s="3"/>
      <c r="L21" s="3"/>
      <c r="M21" s="3"/>
    </row>
    <row r="22" spans="1:13" x14ac:dyDescent="0.25">
      <c r="A22" s="2" t="s">
        <v>70</v>
      </c>
      <c r="B22" s="568" t="s">
        <v>192</v>
      </c>
      <c r="C22" s="568"/>
      <c r="D22" s="568"/>
      <c r="E22" s="3"/>
      <c r="F22" s="3"/>
      <c r="G22" s="3"/>
      <c r="H22" s="3"/>
      <c r="I22" s="3"/>
      <c r="J22" s="3"/>
      <c r="K22" s="3"/>
      <c r="L22" s="3"/>
      <c r="M22" s="3"/>
    </row>
    <row r="23" spans="1:13" x14ac:dyDescent="0.25">
      <c r="A23" s="3"/>
      <c r="B23" s="4" t="s">
        <v>202</v>
      </c>
      <c r="C23" s="3"/>
      <c r="D23" s="3"/>
      <c r="E23" s="3"/>
      <c r="F23" s="3"/>
      <c r="G23" s="3"/>
      <c r="H23" s="3"/>
      <c r="I23" s="3"/>
      <c r="J23" s="3"/>
      <c r="K23" s="3"/>
      <c r="L23" s="3"/>
      <c r="M23" s="3"/>
    </row>
    <row r="24" spans="1:13" x14ac:dyDescent="0.25">
      <c r="A24" s="2" t="s">
        <v>16</v>
      </c>
      <c r="B24" s="568" t="s">
        <v>203</v>
      </c>
      <c r="C24" s="568"/>
      <c r="D24" s="568"/>
      <c r="E24" s="568"/>
      <c r="F24" s="3"/>
      <c r="G24" s="3"/>
      <c r="H24" s="3"/>
      <c r="I24" s="3"/>
      <c r="J24" s="3"/>
      <c r="K24" s="3"/>
      <c r="L24" s="3"/>
      <c r="M24" s="3"/>
    </row>
    <row r="25" spans="1:13" x14ac:dyDescent="0.25">
      <c r="A25" s="3"/>
      <c r="B25" s="4" t="s">
        <v>204</v>
      </c>
      <c r="C25" s="3"/>
      <c r="D25" s="3"/>
      <c r="E25" s="3"/>
      <c r="F25" s="3"/>
      <c r="G25" s="3"/>
      <c r="H25" s="3"/>
      <c r="I25" s="3"/>
      <c r="J25" s="3"/>
      <c r="K25" s="3"/>
      <c r="L25" s="3"/>
      <c r="M25" s="3"/>
    </row>
    <row r="26" spans="1:13" x14ac:dyDescent="0.25">
      <c r="A26" s="3" t="s">
        <v>22</v>
      </c>
      <c r="B26" s="4" t="s">
        <v>205</v>
      </c>
      <c r="C26" s="3"/>
      <c r="D26" s="3"/>
      <c r="E26" s="3"/>
      <c r="F26" s="3"/>
      <c r="G26" s="3"/>
      <c r="H26" s="3"/>
      <c r="I26" s="3"/>
      <c r="J26" s="3"/>
      <c r="K26" s="3"/>
      <c r="L26" s="3"/>
      <c r="M26" s="3"/>
    </row>
    <row r="27" spans="1:13" x14ac:dyDescent="0.25">
      <c r="A27" s="16"/>
    </row>
  </sheetData>
  <mergeCells count="21">
    <mergeCell ref="B10:E10"/>
    <mergeCell ref="A5:A7"/>
    <mergeCell ref="B5:B7"/>
    <mergeCell ref="C5:C7"/>
    <mergeCell ref="D5:D7"/>
    <mergeCell ref="E5:E7"/>
    <mergeCell ref="A1:M1"/>
    <mergeCell ref="A2:M2"/>
    <mergeCell ref="A3:M3"/>
    <mergeCell ref="K4:M4"/>
    <mergeCell ref="I5:J6"/>
    <mergeCell ref="K5:L6"/>
    <mergeCell ref="M5:M7"/>
    <mergeCell ref="F6:F7"/>
    <mergeCell ref="G6:H6"/>
    <mergeCell ref="F5:H5"/>
    <mergeCell ref="B11:D11"/>
    <mergeCell ref="B16:G16"/>
    <mergeCell ref="B19:E19"/>
    <mergeCell ref="B22:D22"/>
    <mergeCell ref="B24:E24"/>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00B0F0"/>
  </sheetPr>
  <dimension ref="A1:Q35"/>
  <sheetViews>
    <sheetView workbookViewId="0">
      <selection activeCell="M17" sqref="M17"/>
    </sheetView>
  </sheetViews>
  <sheetFormatPr defaultRowHeight="15" x14ac:dyDescent="0.25"/>
  <cols>
    <col min="1" max="1" width="5.7109375" customWidth="1"/>
    <col min="2" max="2" width="52" customWidth="1"/>
  </cols>
  <sheetData>
    <row r="1" spans="1:17" ht="15.75" x14ac:dyDescent="0.25">
      <c r="Q1" s="25" t="s">
        <v>694</v>
      </c>
    </row>
    <row r="2" spans="1:17" ht="15.75" x14ac:dyDescent="0.25">
      <c r="A2" s="583" t="s">
        <v>786</v>
      </c>
      <c r="B2" s="583"/>
      <c r="C2" s="583"/>
      <c r="D2" s="583"/>
      <c r="E2" s="583"/>
      <c r="F2" s="583"/>
      <c r="G2" s="583"/>
      <c r="H2" s="583"/>
      <c r="I2" s="583"/>
      <c r="J2" s="583"/>
      <c r="K2" s="583"/>
      <c r="L2" s="583"/>
      <c r="M2" s="583"/>
      <c r="N2" s="583"/>
      <c r="O2" s="583"/>
      <c r="P2" s="583"/>
      <c r="Q2" s="583"/>
    </row>
    <row r="3" spans="1:17" ht="15.75" x14ac:dyDescent="0.25">
      <c r="A3" s="583" t="s">
        <v>126</v>
      </c>
      <c r="B3" s="583"/>
      <c r="C3" s="583"/>
      <c r="D3" s="583"/>
      <c r="E3" s="583"/>
      <c r="F3" s="583"/>
      <c r="G3" s="583"/>
      <c r="H3" s="583"/>
      <c r="I3" s="583"/>
      <c r="J3" s="583"/>
      <c r="K3" s="583"/>
      <c r="L3" s="583"/>
      <c r="M3" s="583"/>
      <c r="N3" s="583"/>
      <c r="O3" s="583"/>
      <c r="P3" s="583"/>
      <c r="Q3" s="583"/>
    </row>
    <row r="4" spans="1:17" ht="15.75" x14ac:dyDescent="0.25">
      <c r="Q4" s="42" t="s">
        <v>56</v>
      </c>
    </row>
    <row r="5" spans="1:17" ht="22.5" customHeight="1" x14ac:dyDescent="0.25">
      <c r="A5" s="588" t="s">
        <v>3</v>
      </c>
      <c r="B5" s="588" t="s">
        <v>161</v>
      </c>
      <c r="C5" s="588" t="s">
        <v>787</v>
      </c>
      <c r="D5" s="588"/>
      <c r="E5" s="588"/>
      <c r="F5" s="588" t="s">
        <v>750</v>
      </c>
      <c r="G5" s="588"/>
      <c r="H5" s="588"/>
      <c r="I5" s="588"/>
      <c r="J5" s="588"/>
      <c r="K5" s="588"/>
      <c r="L5" s="588"/>
      <c r="M5" s="588"/>
      <c r="N5" s="588"/>
      <c r="O5" s="588" t="s">
        <v>374</v>
      </c>
      <c r="P5" s="588"/>
      <c r="Q5" s="588"/>
    </row>
    <row r="6" spans="1:17" ht="23.25" customHeight="1" x14ac:dyDescent="0.25">
      <c r="A6" s="588"/>
      <c r="B6" s="588"/>
      <c r="C6" s="588" t="s">
        <v>130</v>
      </c>
      <c r="D6" s="588" t="s">
        <v>788</v>
      </c>
      <c r="E6" s="588" t="s">
        <v>150</v>
      </c>
      <c r="F6" s="588" t="s">
        <v>130</v>
      </c>
      <c r="G6" s="588" t="s">
        <v>788</v>
      </c>
      <c r="H6" s="588" t="s">
        <v>789</v>
      </c>
      <c r="I6" s="588" t="s">
        <v>790</v>
      </c>
      <c r="J6" s="588" t="s">
        <v>439</v>
      </c>
      <c r="K6" s="588" t="s">
        <v>573</v>
      </c>
      <c r="L6" s="588"/>
      <c r="M6" s="588"/>
      <c r="N6" s="588" t="s">
        <v>574</v>
      </c>
      <c r="O6" s="588" t="s">
        <v>130</v>
      </c>
      <c r="P6" s="588" t="s">
        <v>367</v>
      </c>
      <c r="Q6" s="588" t="s">
        <v>150</v>
      </c>
    </row>
    <row r="7" spans="1:17" ht="109.5" customHeight="1" x14ac:dyDescent="0.25">
      <c r="A7" s="588"/>
      <c r="B7" s="588"/>
      <c r="C7" s="588"/>
      <c r="D7" s="588"/>
      <c r="E7" s="588"/>
      <c r="F7" s="588"/>
      <c r="G7" s="588"/>
      <c r="H7" s="588"/>
      <c r="I7" s="588"/>
      <c r="J7" s="588"/>
      <c r="K7" s="43" t="s">
        <v>130</v>
      </c>
      <c r="L7" s="43" t="s">
        <v>367</v>
      </c>
      <c r="M7" s="43" t="s">
        <v>96</v>
      </c>
      <c r="N7" s="588"/>
      <c r="O7" s="588"/>
      <c r="P7" s="588"/>
      <c r="Q7" s="588"/>
    </row>
    <row r="8" spans="1:17" ht="15.75" x14ac:dyDescent="0.25">
      <c r="A8" s="43" t="s">
        <v>15</v>
      </c>
      <c r="B8" s="43" t="s">
        <v>16</v>
      </c>
      <c r="C8" s="43">
        <v>1</v>
      </c>
      <c r="D8" s="43">
        <v>2</v>
      </c>
      <c r="E8" s="43">
        <v>3</v>
      </c>
      <c r="F8" s="43">
        <v>4</v>
      </c>
      <c r="G8" s="43">
        <v>5</v>
      </c>
      <c r="H8" s="43">
        <v>6</v>
      </c>
      <c r="I8" s="43">
        <v>7</v>
      </c>
      <c r="J8" s="43">
        <v>8</v>
      </c>
      <c r="K8" s="43">
        <v>9</v>
      </c>
      <c r="L8" s="43">
        <v>10</v>
      </c>
      <c r="M8" s="43">
        <v>11</v>
      </c>
      <c r="N8" s="43">
        <v>12</v>
      </c>
      <c r="O8" s="43">
        <v>13</v>
      </c>
      <c r="P8" s="43">
        <v>14</v>
      </c>
      <c r="Q8" s="43">
        <v>15</v>
      </c>
    </row>
    <row r="9" spans="1:17" ht="15.75" x14ac:dyDescent="0.25">
      <c r="A9" s="30"/>
      <c r="B9" s="30" t="s">
        <v>133</v>
      </c>
      <c r="C9" s="28"/>
      <c r="D9" s="28"/>
      <c r="E9" s="28"/>
      <c r="F9" s="28"/>
      <c r="G9" s="28"/>
      <c r="H9" s="28"/>
      <c r="I9" s="28"/>
      <c r="J9" s="28"/>
      <c r="K9" s="28"/>
      <c r="L9" s="28"/>
      <c r="M9" s="28"/>
      <c r="N9" s="44"/>
      <c r="O9" s="44"/>
      <c r="P9" s="44"/>
      <c r="Q9" s="44"/>
    </row>
    <row r="10" spans="1:17" ht="15.75" x14ac:dyDescent="0.25">
      <c r="A10" s="29" t="s">
        <v>83</v>
      </c>
      <c r="B10" s="30" t="s">
        <v>575</v>
      </c>
      <c r="C10" s="28"/>
      <c r="D10" s="28"/>
      <c r="E10" s="28"/>
      <c r="F10" s="28"/>
      <c r="G10" s="28"/>
      <c r="H10" s="28"/>
      <c r="I10" s="28"/>
      <c r="J10" s="28"/>
      <c r="K10" s="28"/>
      <c r="L10" s="28"/>
      <c r="M10" s="28"/>
      <c r="N10" s="44"/>
      <c r="O10" s="44"/>
      <c r="P10" s="44"/>
      <c r="Q10" s="44"/>
    </row>
    <row r="11" spans="1:17" ht="15.75" x14ac:dyDescent="0.25">
      <c r="A11" s="29">
        <v>1</v>
      </c>
      <c r="B11" s="30" t="s">
        <v>166</v>
      </c>
      <c r="C11" s="28"/>
      <c r="D11" s="28"/>
      <c r="E11" s="28"/>
      <c r="F11" s="28"/>
      <c r="G11" s="28"/>
      <c r="H11" s="28"/>
      <c r="I11" s="28"/>
      <c r="J11" s="28"/>
      <c r="K11" s="28"/>
      <c r="L11" s="28"/>
      <c r="M11" s="28"/>
      <c r="N11" s="44"/>
      <c r="O11" s="44"/>
      <c r="P11" s="44"/>
      <c r="Q11" s="44"/>
    </row>
    <row r="12" spans="1:17" ht="15.75" x14ac:dyDescent="0.25">
      <c r="A12" s="29">
        <v>2</v>
      </c>
      <c r="B12" s="30" t="s">
        <v>167</v>
      </c>
      <c r="C12" s="28"/>
      <c r="D12" s="28"/>
      <c r="E12" s="28"/>
      <c r="F12" s="28"/>
      <c r="G12" s="28"/>
      <c r="H12" s="28"/>
      <c r="I12" s="28"/>
      <c r="J12" s="28"/>
      <c r="K12" s="28"/>
      <c r="L12" s="28"/>
      <c r="M12" s="28"/>
      <c r="N12" s="44"/>
      <c r="O12" s="44"/>
      <c r="P12" s="44"/>
      <c r="Q12" s="44"/>
    </row>
    <row r="13" spans="1:17" ht="15.75" x14ac:dyDescent="0.25">
      <c r="A13" s="29">
        <v>3</v>
      </c>
      <c r="B13" s="30" t="s">
        <v>201</v>
      </c>
      <c r="C13" s="28"/>
      <c r="D13" s="28"/>
      <c r="E13" s="28"/>
      <c r="F13" s="28"/>
      <c r="G13" s="28"/>
      <c r="H13" s="28"/>
      <c r="I13" s="28"/>
      <c r="J13" s="28"/>
      <c r="K13" s="28"/>
      <c r="L13" s="28"/>
      <c r="M13" s="28"/>
      <c r="N13" s="44"/>
      <c r="O13" s="44"/>
      <c r="P13" s="44"/>
      <c r="Q13" s="44"/>
    </row>
    <row r="14" spans="1:17" ht="31.5" x14ac:dyDescent="0.25">
      <c r="A14" s="29" t="s">
        <v>70</v>
      </c>
      <c r="B14" s="30" t="s">
        <v>791</v>
      </c>
      <c r="C14" s="28"/>
      <c r="D14" s="28"/>
      <c r="E14" s="28"/>
      <c r="F14" s="28"/>
      <c r="G14" s="28"/>
      <c r="H14" s="28"/>
      <c r="I14" s="28"/>
      <c r="J14" s="28"/>
      <c r="K14" s="28"/>
      <c r="L14" s="28"/>
      <c r="M14" s="28"/>
      <c r="N14" s="44"/>
      <c r="O14" s="44"/>
      <c r="P14" s="44"/>
      <c r="Q14" s="44"/>
    </row>
    <row r="15" spans="1:17" ht="15.75" x14ac:dyDescent="0.25">
      <c r="A15" s="29" t="s">
        <v>73</v>
      </c>
      <c r="B15" s="30" t="s">
        <v>792</v>
      </c>
      <c r="C15" s="28"/>
      <c r="D15" s="28"/>
      <c r="E15" s="28"/>
      <c r="F15" s="28"/>
      <c r="G15" s="28"/>
      <c r="H15" s="28"/>
      <c r="I15" s="28"/>
      <c r="J15" s="28"/>
      <c r="K15" s="28"/>
      <c r="L15" s="28"/>
      <c r="M15" s="28"/>
      <c r="N15" s="44"/>
      <c r="O15" s="44"/>
      <c r="P15" s="44"/>
      <c r="Q15" s="44"/>
    </row>
    <row r="16" spans="1:17" ht="15.75" x14ac:dyDescent="0.25">
      <c r="A16" s="29" t="s">
        <v>77</v>
      </c>
      <c r="B16" s="30" t="s">
        <v>672</v>
      </c>
      <c r="C16" s="28"/>
      <c r="D16" s="28"/>
      <c r="E16" s="28"/>
      <c r="F16" s="28"/>
      <c r="G16" s="28"/>
      <c r="H16" s="28"/>
      <c r="I16" s="28"/>
      <c r="J16" s="28"/>
      <c r="K16" s="28"/>
      <c r="L16" s="28"/>
      <c r="M16" s="28"/>
      <c r="N16" s="44"/>
      <c r="O16" s="44"/>
      <c r="P16" s="44"/>
      <c r="Q16" s="44"/>
    </row>
    <row r="17" spans="1:17" ht="15.75" x14ac:dyDescent="0.25">
      <c r="A17" s="29" t="s">
        <v>113</v>
      </c>
      <c r="B17" s="30" t="s">
        <v>673</v>
      </c>
      <c r="C17" s="28"/>
      <c r="D17" s="28"/>
      <c r="E17" s="28"/>
      <c r="F17" s="28"/>
      <c r="G17" s="28"/>
      <c r="H17" s="28"/>
      <c r="I17" s="28"/>
      <c r="J17" s="28"/>
      <c r="K17" s="28"/>
      <c r="L17" s="28"/>
      <c r="M17" s="28"/>
      <c r="N17" s="44"/>
      <c r="O17" s="44"/>
      <c r="P17" s="44"/>
      <c r="Q17" s="44"/>
    </row>
    <row r="18" spans="1:17" ht="31.5" x14ac:dyDescent="0.25">
      <c r="A18" s="29" t="s">
        <v>426</v>
      </c>
      <c r="B18" s="30" t="s">
        <v>793</v>
      </c>
      <c r="C18" s="28"/>
      <c r="D18" s="28"/>
      <c r="E18" s="28"/>
      <c r="F18" s="28"/>
      <c r="G18" s="28"/>
      <c r="H18" s="28"/>
      <c r="I18" s="28"/>
      <c r="J18" s="28"/>
      <c r="K18" s="28"/>
      <c r="L18" s="28"/>
      <c r="M18" s="28"/>
      <c r="N18" s="44"/>
      <c r="O18" s="44"/>
      <c r="P18" s="44"/>
      <c r="Q18" s="44"/>
    </row>
    <row r="19" spans="1:17" ht="31.5" x14ac:dyDescent="0.25">
      <c r="A19" s="29" t="s">
        <v>674</v>
      </c>
      <c r="B19" s="30" t="s">
        <v>580</v>
      </c>
      <c r="C19" s="28"/>
      <c r="D19" s="28"/>
      <c r="E19" s="28"/>
      <c r="F19" s="28"/>
      <c r="G19" s="28"/>
      <c r="H19" s="28"/>
      <c r="I19" s="28"/>
      <c r="J19" s="28"/>
      <c r="K19" s="28"/>
      <c r="L19" s="28"/>
      <c r="M19" s="28"/>
      <c r="N19" s="44"/>
      <c r="O19" s="44"/>
      <c r="P19" s="44"/>
      <c r="Q19" s="44"/>
    </row>
    <row r="20" spans="1:17" ht="15.75" x14ac:dyDescent="0.25">
      <c r="A20" s="45" t="s">
        <v>582</v>
      </c>
    </row>
    <row r="21" spans="1:17" ht="15.75" x14ac:dyDescent="0.25">
      <c r="A21" s="46" t="s">
        <v>796</v>
      </c>
    </row>
    <row r="22" spans="1:17" ht="15.75" x14ac:dyDescent="0.25">
      <c r="A22" s="46" t="s">
        <v>794</v>
      </c>
    </row>
    <row r="23" spans="1:17" ht="15.75" x14ac:dyDescent="0.25">
      <c r="A23" s="46" t="s">
        <v>795</v>
      </c>
    </row>
    <row r="24" spans="1:17" ht="15.75" x14ac:dyDescent="0.25">
      <c r="A24" s="47"/>
    </row>
    <row r="25" spans="1:17" x14ac:dyDescent="0.25">
      <c r="A25" s="40"/>
    </row>
    <row r="26" spans="1:17" x14ac:dyDescent="0.25">
      <c r="A26" s="40"/>
    </row>
    <row r="27" spans="1:17" x14ac:dyDescent="0.25">
      <c r="A27" s="40"/>
    </row>
    <row r="28" spans="1:17" x14ac:dyDescent="0.25">
      <c r="A28" s="40"/>
    </row>
    <row r="29" spans="1:17" x14ac:dyDescent="0.25">
      <c r="A29" s="40"/>
    </row>
    <row r="30" spans="1:17" x14ac:dyDescent="0.25">
      <c r="A30" s="40"/>
    </row>
    <row r="31" spans="1:17" x14ac:dyDescent="0.25">
      <c r="A31" s="40"/>
    </row>
    <row r="32" spans="1:17" x14ac:dyDescent="0.25">
      <c r="A32" s="40"/>
    </row>
    <row r="33" spans="1:1" x14ac:dyDescent="0.25">
      <c r="A33" s="40"/>
    </row>
    <row r="34" spans="1:1" x14ac:dyDescent="0.25">
      <c r="A34" s="40"/>
    </row>
    <row r="35" spans="1:1" x14ac:dyDescent="0.25">
      <c r="A35" s="40"/>
    </row>
  </sheetData>
  <mergeCells count="20">
    <mergeCell ref="A2:Q2"/>
    <mergeCell ref="A3:Q3"/>
    <mergeCell ref="H6:H7"/>
    <mergeCell ref="I6:I7"/>
    <mergeCell ref="J6:J7"/>
    <mergeCell ref="K6:M6"/>
    <mergeCell ref="N6:N7"/>
    <mergeCell ref="O6:O7"/>
    <mergeCell ref="A5:A7"/>
    <mergeCell ref="B5:B7"/>
    <mergeCell ref="C5:E5"/>
    <mergeCell ref="F5:N5"/>
    <mergeCell ref="O5:Q5"/>
    <mergeCell ref="C6:C7"/>
    <mergeCell ref="D6:D7"/>
    <mergeCell ref="E6:E7"/>
    <mergeCell ref="F6:F7"/>
    <mergeCell ref="G6:G7"/>
    <mergeCell ref="P6:P7"/>
    <mergeCell ref="Q6:Q7"/>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00B0F0"/>
  </sheetPr>
  <dimension ref="A1:T12"/>
  <sheetViews>
    <sheetView workbookViewId="0">
      <selection activeCell="M17" sqref="M17"/>
    </sheetView>
  </sheetViews>
  <sheetFormatPr defaultRowHeight="15" x14ac:dyDescent="0.25"/>
  <cols>
    <col min="1" max="1" width="7" customWidth="1"/>
    <col min="2" max="2" width="21.42578125" customWidth="1"/>
    <col min="17" max="17" width="11.28515625" customWidth="1"/>
  </cols>
  <sheetData>
    <row r="1" spans="1:20" ht="15.75" x14ac:dyDescent="0.25">
      <c r="T1" s="48" t="s">
        <v>797</v>
      </c>
    </row>
    <row r="2" spans="1:20" ht="15.75" x14ac:dyDescent="0.25">
      <c r="A2" s="551" t="s">
        <v>798</v>
      </c>
      <c r="B2" s="551"/>
      <c r="C2" s="551"/>
      <c r="D2" s="551"/>
      <c r="E2" s="551"/>
      <c r="F2" s="551"/>
      <c r="G2" s="551"/>
      <c r="H2" s="551"/>
      <c r="I2" s="551"/>
      <c r="J2" s="551"/>
      <c r="K2" s="551"/>
      <c r="L2" s="551"/>
      <c r="M2" s="551"/>
      <c r="N2" s="551"/>
      <c r="O2" s="551"/>
      <c r="P2" s="551"/>
      <c r="Q2" s="551"/>
      <c r="R2" s="551"/>
      <c r="S2" s="551"/>
      <c r="T2" s="551"/>
    </row>
    <row r="3" spans="1:20" ht="15.75" x14ac:dyDescent="0.25">
      <c r="A3" s="551" t="s">
        <v>126</v>
      </c>
      <c r="B3" s="551"/>
      <c r="C3" s="551"/>
      <c r="D3" s="551"/>
      <c r="E3" s="551"/>
      <c r="F3" s="551"/>
      <c r="G3" s="551"/>
      <c r="H3" s="551"/>
      <c r="I3" s="551"/>
      <c r="J3" s="551"/>
      <c r="K3" s="551"/>
      <c r="L3" s="551"/>
      <c r="M3" s="551"/>
      <c r="N3" s="551"/>
      <c r="O3" s="551"/>
      <c r="P3" s="551"/>
      <c r="Q3" s="551"/>
      <c r="R3" s="551"/>
      <c r="S3" s="551"/>
      <c r="T3" s="551"/>
    </row>
    <row r="4" spans="1:20" ht="15.75" x14ac:dyDescent="0.25">
      <c r="T4" s="26" t="s">
        <v>56</v>
      </c>
    </row>
    <row r="5" spans="1:20" ht="15.75" x14ac:dyDescent="0.25">
      <c r="A5" s="595" t="s">
        <v>3</v>
      </c>
      <c r="B5" s="595" t="s">
        <v>161</v>
      </c>
      <c r="C5" s="595" t="s">
        <v>663</v>
      </c>
      <c r="D5" s="595" t="s">
        <v>750</v>
      </c>
      <c r="E5" s="595" t="s">
        <v>419</v>
      </c>
      <c r="F5" s="595" t="s">
        <v>420</v>
      </c>
      <c r="G5" s="595" t="s">
        <v>555</v>
      </c>
      <c r="H5" s="595" t="s">
        <v>556</v>
      </c>
      <c r="I5" s="595" t="s">
        <v>557</v>
      </c>
      <c r="J5" s="595" t="s">
        <v>558</v>
      </c>
      <c r="K5" s="595" t="s">
        <v>559</v>
      </c>
      <c r="L5" s="595" t="s">
        <v>560</v>
      </c>
      <c r="M5" s="595" t="s">
        <v>561</v>
      </c>
      <c r="N5" s="595" t="s">
        <v>562</v>
      </c>
      <c r="O5" s="595" t="s">
        <v>162</v>
      </c>
      <c r="P5" s="595"/>
      <c r="Q5" s="595" t="s">
        <v>563</v>
      </c>
      <c r="R5" s="595" t="s">
        <v>564</v>
      </c>
      <c r="S5" s="595" t="s">
        <v>565</v>
      </c>
      <c r="T5" s="595" t="s">
        <v>374</v>
      </c>
    </row>
    <row r="6" spans="1:20" ht="126" x14ac:dyDescent="0.25">
      <c r="A6" s="595"/>
      <c r="B6" s="595"/>
      <c r="C6" s="595"/>
      <c r="D6" s="595"/>
      <c r="E6" s="595"/>
      <c r="F6" s="595"/>
      <c r="G6" s="595"/>
      <c r="H6" s="595"/>
      <c r="I6" s="595"/>
      <c r="J6" s="595"/>
      <c r="K6" s="595"/>
      <c r="L6" s="595"/>
      <c r="M6" s="595"/>
      <c r="N6" s="595"/>
      <c r="O6" s="29" t="s">
        <v>586</v>
      </c>
      <c r="P6" s="29" t="s">
        <v>587</v>
      </c>
      <c r="Q6" s="595"/>
      <c r="R6" s="595"/>
      <c r="S6" s="595"/>
      <c r="T6" s="595"/>
    </row>
    <row r="7" spans="1:20"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c r="S7" s="29">
        <v>17</v>
      </c>
      <c r="T7" s="29" t="s">
        <v>799</v>
      </c>
    </row>
    <row r="8" spans="1:20" ht="24" customHeight="1" x14ac:dyDescent="0.25">
      <c r="A8" s="29"/>
      <c r="B8" s="30" t="s">
        <v>133</v>
      </c>
      <c r="C8" s="29"/>
      <c r="D8" s="29"/>
      <c r="E8" s="29"/>
      <c r="F8" s="29"/>
      <c r="G8" s="29"/>
      <c r="H8" s="29"/>
      <c r="I8" s="29"/>
      <c r="J8" s="29"/>
      <c r="K8" s="29"/>
      <c r="L8" s="29"/>
      <c r="M8" s="29"/>
      <c r="N8" s="29"/>
      <c r="O8" s="29"/>
      <c r="P8" s="29"/>
      <c r="Q8" s="29"/>
      <c r="R8" s="29"/>
      <c r="S8" s="29"/>
      <c r="T8" s="29"/>
    </row>
    <row r="9" spans="1:20" ht="24" customHeight="1" x14ac:dyDescent="0.25">
      <c r="A9" s="29">
        <v>1</v>
      </c>
      <c r="B9" s="30" t="s">
        <v>166</v>
      </c>
      <c r="C9" s="28"/>
      <c r="D9" s="28"/>
      <c r="E9" s="28"/>
      <c r="F9" s="28"/>
      <c r="G9" s="28"/>
      <c r="H9" s="28"/>
      <c r="I9" s="28"/>
      <c r="J9" s="28"/>
      <c r="K9" s="28"/>
      <c r="L9" s="28"/>
      <c r="M9" s="28"/>
      <c r="N9" s="28"/>
      <c r="O9" s="28"/>
      <c r="P9" s="28"/>
      <c r="Q9" s="28"/>
      <c r="R9" s="28"/>
      <c r="S9" s="28"/>
      <c r="T9" s="28"/>
    </row>
    <row r="10" spans="1:20" ht="24" customHeight="1" x14ac:dyDescent="0.25">
      <c r="A10" s="29">
        <v>2</v>
      </c>
      <c r="B10" s="30" t="s">
        <v>167</v>
      </c>
      <c r="C10" s="28"/>
      <c r="D10" s="28"/>
      <c r="E10" s="28"/>
      <c r="F10" s="28"/>
      <c r="G10" s="28"/>
      <c r="H10" s="28"/>
      <c r="I10" s="28"/>
      <c r="J10" s="28"/>
      <c r="K10" s="28"/>
      <c r="L10" s="28"/>
      <c r="M10" s="28"/>
      <c r="N10" s="28"/>
      <c r="O10" s="28"/>
      <c r="P10" s="28"/>
      <c r="Q10" s="28"/>
      <c r="R10" s="28"/>
      <c r="S10" s="28"/>
      <c r="T10" s="28"/>
    </row>
    <row r="11" spans="1:20" ht="24" customHeight="1" x14ac:dyDescent="0.25">
      <c r="A11" s="29">
        <v>3</v>
      </c>
      <c r="B11" s="30" t="s">
        <v>800</v>
      </c>
      <c r="C11" s="28"/>
      <c r="D11" s="28"/>
      <c r="E11" s="28"/>
      <c r="F11" s="28"/>
      <c r="G11" s="28"/>
      <c r="H11" s="28"/>
      <c r="I11" s="28"/>
      <c r="J11" s="28"/>
      <c r="K11" s="28"/>
      <c r="L11" s="28"/>
      <c r="M11" s="28"/>
      <c r="N11" s="28"/>
      <c r="O11" s="28"/>
      <c r="P11" s="28"/>
      <c r="Q11" s="28"/>
      <c r="R11" s="28"/>
      <c r="S11" s="28"/>
      <c r="T11" s="28"/>
    </row>
    <row r="12" spans="1:20" ht="24" customHeight="1" x14ac:dyDescent="0.25">
      <c r="A12" s="29">
        <v>4</v>
      </c>
      <c r="B12" s="30" t="s">
        <v>610</v>
      </c>
      <c r="C12" s="28"/>
      <c r="D12" s="28"/>
      <c r="E12" s="28"/>
      <c r="F12" s="28"/>
      <c r="G12" s="28"/>
      <c r="H12" s="28"/>
      <c r="I12" s="28"/>
      <c r="J12" s="28"/>
      <c r="K12" s="28"/>
      <c r="L12" s="28"/>
      <c r="M12" s="28"/>
      <c r="N12" s="28"/>
      <c r="O12" s="28"/>
      <c r="P12" s="28"/>
      <c r="Q12" s="28"/>
      <c r="R12" s="28"/>
      <c r="S12" s="28"/>
      <c r="T12" s="28"/>
    </row>
  </sheetData>
  <mergeCells count="21">
    <mergeCell ref="T5:T6"/>
    <mergeCell ref="A2:T2"/>
    <mergeCell ref="A3:T3"/>
    <mergeCell ref="M5:M6"/>
    <mergeCell ref="N5:N6"/>
    <mergeCell ref="O5:P5"/>
    <mergeCell ref="Q5:Q6"/>
    <mergeCell ref="R5:R6"/>
    <mergeCell ref="S5:S6"/>
    <mergeCell ref="G5:G6"/>
    <mergeCell ref="L5:L6"/>
    <mergeCell ref="A5:A6"/>
    <mergeCell ref="B5:B6"/>
    <mergeCell ref="C5:C6"/>
    <mergeCell ref="D5:D6"/>
    <mergeCell ref="E5:E6"/>
    <mergeCell ref="F5:F6"/>
    <mergeCell ref="H5:H6"/>
    <mergeCell ref="I5:I6"/>
    <mergeCell ref="J5:J6"/>
    <mergeCell ref="K5:K6"/>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rgb="FF00B0F0"/>
  </sheetPr>
  <dimension ref="A1:T13"/>
  <sheetViews>
    <sheetView workbookViewId="0">
      <selection activeCell="M17" sqref="M17"/>
    </sheetView>
  </sheetViews>
  <sheetFormatPr defaultRowHeight="15" x14ac:dyDescent="0.25"/>
  <cols>
    <col min="1" max="1" width="6.28515625" customWidth="1"/>
    <col min="2" max="2" width="23.7109375" customWidth="1"/>
    <col min="17" max="17" width="10.28515625" customWidth="1"/>
  </cols>
  <sheetData>
    <row r="1" spans="1:20" ht="15.75" x14ac:dyDescent="0.25">
      <c r="T1" s="25" t="s">
        <v>801</v>
      </c>
    </row>
    <row r="2" spans="1:20" ht="15.75" x14ac:dyDescent="0.25">
      <c r="A2" s="551" t="s">
        <v>802</v>
      </c>
      <c r="B2" s="551"/>
      <c r="C2" s="551"/>
      <c r="D2" s="551"/>
      <c r="E2" s="551"/>
      <c r="F2" s="551"/>
      <c r="G2" s="551"/>
      <c r="H2" s="551"/>
      <c r="I2" s="551"/>
      <c r="J2" s="551"/>
      <c r="K2" s="551"/>
      <c r="L2" s="551"/>
      <c r="M2" s="551"/>
      <c r="N2" s="551"/>
      <c r="O2" s="551"/>
      <c r="P2" s="551"/>
      <c r="Q2" s="551"/>
      <c r="R2" s="551"/>
      <c r="S2" s="551"/>
      <c r="T2" s="551"/>
    </row>
    <row r="3" spans="1:20" ht="15.75" x14ac:dyDescent="0.25">
      <c r="A3" s="551" t="s">
        <v>126</v>
      </c>
      <c r="B3" s="551"/>
      <c r="C3" s="551"/>
      <c r="D3" s="551"/>
      <c r="E3" s="551"/>
      <c r="F3" s="551"/>
      <c r="G3" s="551"/>
      <c r="H3" s="551"/>
      <c r="I3" s="551"/>
      <c r="J3" s="551"/>
      <c r="K3" s="551"/>
      <c r="L3" s="551"/>
      <c r="M3" s="551"/>
      <c r="N3" s="551"/>
      <c r="O3" s="551"/>
      <c r="P3" s="551"/>
      <c r="Q3" s="551"/>
      <c r="R3" s="551"/>
      <c r="S3" s="551"/>
      <c r="T3" s="551"/>
    </row>
    <row r="4" spans="1:20" ht="15.75" x14ac:dyDescent="0.25">
      <c r="T4" s="26" t="s">
        <v>56</v>
      </c>
    </row>
    <row r="5" spans="1:20" ht="15.75" x14ac:dyDescent="0.25">
      <c r="A5" s="595" t="s">
        <v>3</v>
      </c>
      <c r="B5" s="595" t="s">
        <v>161</v>
      </c>
      <c r="C5" s="595" t="s">
        <v>663</v>
      </c>
      <c r="D5" s="595" t="s">
        <v>750</v>
      </c>
      <c r="E5" s="595" t="s">
        <v>419</v>
      </c>
      <c r="F5" s="595" t="s">
        <v>420</v>
      </c>
      <c r="G5" s="595" t="s">
        <v>555</v>
      </c>
      <c r="H5" s="595" t="s">
        <v>556</v>
      </c>
      <c r="I5" s="595" t="s">
        <v>557</v>
      </c>
      <c r="J5" s="595" t="s">
        <v>558</v>
      </c>
      <c r="K5" s="595" t="s">
        <v>559</v>
      </c>
      <c r="L5" s="595" t="s">
        <v>560</v>
      </c>
      <c r="M5" s="595" t="s">
        <v>561</v>
      </c>
      <c r="N5" s="595" t="s">
        <v>562</v>
      </c>
      <c r="O5" s="595" t="s">
        <v>162</v>
      </c>
      <c r="P5" s="595"/>
      <c r="Q5" s="595" t="s">
        <v>563</v>
      </c>
      <c r="R5" s="595" t="s">
        <v>564</v>
      </c>
      <c r="S5" s="595" t="s">
        <v>565</v>
      </c>
      <c r="T5" s="595" t="s">
        <v>374</v>
      </c>
    </row>
    <row r="6" spans="1:20" ht="126" x14ac:dyDescent="0.25">
      <c r="A6" s="595"/>
      <c r="B6" s="595"/>
      <c r="C6" s="595"/>
      <c r="D6" s="595"/>
      <c r="E6" s="595"/>
      <c r="F6" s="595"/>
      <c r="G6" s="595"/>
      <c r="H6" s="595"/>
      <c r="I6" s="595"/>
      <c r="J6" s="595"/>
      <c r="K6" s="595"/>
      <c r="L6" s="595"/>
      <c r="M6" s="595"/>
      <c r="N6" s="595"/>
      <c r="O6" s="29" t="s">
        <v>586</v>
      </c>
      <c r="P6" s="29" t="s">
        <v>587</v>
      </c>
      <c r="Q6" s="595"/>
      <c r="R6" s="595"/>
      <c r="S6" s="595"/>
      <c r="T6" s="595"/>
    </row>
    <row r="7" spans="1:20"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c r="S7" s="29">
        <v>17</v>
      </c>
      <c r="T7" s="29" t="s">
        <v>803</v>
      </c>
    </row>
    <row r="8" spans="1:20" ht="24" customHeight="1" x14ac:dyDescent="0.25">
      <c r="A8" s="29"/>
      <c r="B8" s="30" t="s">
        <v>133</v>
      </c>
      <c r="C8" s="29"/>
      <c r="D8" s="29"/>
      <c r="E8" s="29"/>
      <c r="F8" s="29"/>
      <c r="G8" s="29"/>
      <c r="H8" s="29"/>
      <c r="I8" s="29"/>
      <c r="J8" s="29"/>
      <c r="K8" s="29"/>
      <c r="L8" s="29"/>
      <c r="M8" s="29"/>
      <c r="N8" s="29"/>
      <c r="O8" s="29"/>
      <c r="P8" s="29"/>
      <c r="Q8" s="29"/>
      <c r="R8" s="29"/>
      <c r="S8" s="29"/>
      <c r="T8" s="29"/>
    </row>
    <row r="9" spans="1:20" ht="24" customHeight="1" x14ac:dyDescent="0.25">
      <c r="A9" s="29">
        <v>1</v>
      </c>
      <c r="B9" s="30" t="s">
        <v>166</v>
      </c>
      <c r="C9" s="28"/>
      <c r="D9" s="28"/>
      <c r="E9" s="28"/>
      <c r="F9" s="28"/>
      <c r="G9" s="28"/>
      <c r="H9" s="28"/>
      <c r="I9" s="28"/>
      <c r="J9" s="28"/>
      <c r="K9" s="28"/>
      <c r="L9" s="28"/>
      <c r="M9" s="28"/>
      <c r="N9" s="28"/>
      <c r="O9" s="28"/>
      <c r="P9" s="28"/>
      <c r="Q9" s="28"/>
      <c r="R9" s="28"/>
      <c r="S9" s="28"/>
      <c r="T9" s="28"/>
    </row>
    <row r="10" spans="1:20" ht="24" customHeight="1" x14ac:dyDescent="0.25">
      <c r="A10" s="29">
        <v>2</v>
      </c>
      <c r="B10" s="30" t="s">
        <v>167</v>
      </c>
      <c r="C10" s="28"/>
      <c r="D10" s="28"/>
      <c r="E10" s="28"/>
      <c r="F10" s="28"/>
      <c r="G10" s="28"/>
      <c r="H10" s="28"/>
      <c r="I10" s="28"/>
      <c r="J10" s="28"/>
      <c r="K10" s="28"/>
      <c r="L10" s="28"/>
      <c r="M10" s="28"/>
      <c r="N10" s="28"/>
      <c r="O10" s="28"/>
      <c r="P10" s="28"/>
      <c r="Q10" s="28"/>
      <c r="R10" s="28"/>
      <c r="S10" s="28"/>
      <c r="T10" s="28"/>
    </row>
    <row r="11" spans="1:20" ht="24" customHeight="1" x14ac:dyDescent="0.25">
      <c r="A11" s="29">
        <v>3</v>
      </c>
      <c r="B11" s="30" t="s">
        <v>800</v>
      </c>
      <c r="C11" s="28"/>
      <c r="D11" s="28"/>
      <c r="E11" s="28"/>
      <c r="F11" s="28"/>
      <c r="G11" s="28"/>
      <c r="H11" s="28"/>
      <c r="I11" s="28"/>
      <c r="J11" s="28"/>
      <c r="K11" s="28"/>
      <c r="L11" s="28"/>
      <c r="M11" s="28"/>
      <c r="N11" s="28"/>
      <c r="O11" s="28"/>
      <c r="P11" s="28"/>
      <c r="Q11" s="28"/>
      <c r="R11" s="28"/>
      <c r="S11" s="28"/>
      <c r="T11" s="28"/>
    </row>
    <row r="12" spans="1:20" ht="24" customHeight="1" x14ac:dyDescent="0.25">
      <c r="A12" s="29">
        <v>4</v>
      </c>
      <c r="B12" s="30" t="s">
        <v>610</v>
      </c>
      <c r="C12" s="28"/>
      <c r="D12" s="28"/>
      <c r="E12" s="28"/>
      <c r="F12" s="28"/>
      <c r="G12" s="28"/>
      <c r="H12" s="28"/>
      <c r="I12" s="28"/>
      <c r="J12" s="28"/>
      <c r="K12" s="28"/>
      <c r="L12" s="28"/>
      <c r="M12" s="28"/>
      <c r="N12" s="28"/>
      <c r="O12" s="28"/>
      <c r="P12" s="28"/>
      <c r="Q12" s="28"/>
      <c r="R12" s="28"/>
      <c r="S12" s="28"/>
      <c r="T12" s="28"/>
    </row>
    <row r="13" spans="1:20" ht="24" customHeight="1" x14ac:dyDescent="0.25"/>
  </sheetData>
  <mergeCells count="21">
    <mergeCell ref="T5:T6"/>
    <mergeCell ref="A2:T2"/>
    <mergeCell ref="A3:T3"/>
    <mergeCell ref="M5:M6"/>
    <mergeCell ref="N5:N6"/>
    <mergeCell ref="O5:P5"/>
    <mergeCell ref="Q5:Q6"/>
    <mergeCell ref="R5:R6"/>
    <mergeCell ref="S5:S6"/>
    <mergeCell ref="G5:G6"/>
    <mergeCell ref="L5:L6"/>
    <mergeCell ref="A5:A6"/>
    <mergeCell ref="B5:B6"/>
    <mergeCell ref="C5:C6"/>
    <mergeCell ref="D5:D6"/>
    <mergeCell ref="E5:E6"/>
    <mergeCell ref="F5:F6"/>
    <mergeCell ref="H5:H6"/>
    <mergeCell ref="I5:I6"/>
    <mergeCell ref="J5:J6"/>
    <mergeCell ref="K5:K6"/>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00B0F0"/>
  </sheetPr>
  <dimension ref="A1:J12"/>
  <sheetViews>
    <sheetView workbookViewId="0">
      <selection activeCell="M17" sqref="M17"/>
    </sheetView>
  </sheetViews>
  <sheetFormatPr defaultRowHeight="15" x14ac:dyDescent="0.25"/>
  <cols>
    <col min="1" max="1" width="6.7109375" customWidth="1"/>
    <col min="2" max="2" width="24.28515625" customWidth="1"/>
    <col min="3" max="10" width="10.7109375" customWidth="1"/>
  </cols>
  <sheetData>
    <row r="1" spans="1:10" ht="15.75" x14ac:dyDescent="0.25">
      <c r="J1" s="25" t="s">
        <v>804</v>
      </c>
    </row>
    <row r="2" spans="1:10" ht="41.25" customHeight="1" x14ac:dyDescent="0.25">
      <c r="A2" s="594" t="s">
        <v>805</v>
      </c>
      <c r="B2" s="594"/>
      <c r="C2" s="594"/>
      <c r="D2" s="594"/>
      <c r="E2" s="594"/>
      <c r="F2" s="594"/>
      <c r="G2" s="594"/>
      <c r="H2" s="594"/>
      <c r="I2" s="594"/>
      <c r="J2" s="594"/>
    </row>
    <row r="3" spans="1:10" ht="15.75" x14ac:dyDescent="0.25">
      <c r="A3" s="594" t="s">
        <v>126</v>
      </c>
      <c r="B3" s="594"/>
      <c r="C3" s="594"/>
      <c r="D3" s="594"/>
      <c r="E3" s="594"/>
      <c r="F3" s="594"/>
      <c r="G3" s="594"/>
      <c r="H3" s="594"/>
      <c r="I3" s="594"/>
      <c r="J3" s="594"/>
    </row>
    <row r="4" spans="1:10" ht="15.75" x14ac:dyDescent="0.25">
      <c r="J4" s="26" t="s">
        <v>56</v>
      </c>
    </row>
    <row r="5" spans="1:10" ht="15.75" x14ac:dyDescent="0.25">
      <c r="A5" s="595" t="s">
        <v>3</v>
      </c>
      <c r="B5" s="595" t="s">
        <v>161</v>
      </c>
      <c r="C5" s="595" t="s">
        <v>806</v>
      </c>
      <c r="D5" s="595" t="s">
        <v>523</v>
      </c>
      <c r="E5" s="595"/>
      <c r="F5" s="595"/>
      <c r="G5" s="595" t="s">
        <v>807</v>
      </c>
      <c r="H5" s="595" t="s">
        <v>808</v>
      </c>
      <c r="I5" s="595" t="s">
        <v>162</v>
      </c>
      <c r="J5" s="595"/>
    </row>
    <row r="6" spans="1:10" ht="63" x14ac:dyDescent="0.25">
      <c r="A6" s="595"/>
      <c r="B6" s="595"/>
      <c r="C6" s="595"/>
      <c r="D6" s="29" t="s">
        <v>809</v>
      </c>
      <c r="E6" s="29" t="s">
        <v>810</v>
      </c>
      <c r="F6" s="29" t="s">
        <v>811</v>
      </c>
      <c r="G6" s="595"/>
      <c r="H6" s="595"/>
      <c r="I6" s="29" t="s">
        <v>812</v>
      </c>
      <c r="J6" s="29" t="s">
        <v>813</v>
      </c>
    </row>
    <row r="7" spans="1:10" ht="15.75" x14ac:dyDescent="0.25">
      <c r="A7" s="29" t="s">
        <v>15</v>
      </c>
      <c r="B7" s="29" t="s">
        <v>16</v>
      </c>
      <c r="C7" s="29" t="s">
        <v>814</v>
      </c>
      <c r="D7" s="29">
        <v>2</v>
      </c>
      <c r="E7" s="29">
        <v>3</v>
      </c>
      <c r="F7" s="29">
        <v>4</v>
      </c>
      <c r="G7" s="29">
        <v>5</v>
      </c>
      <c r="H7" s="29" t="s">
        <v>815</v>
      </c>
      <c r="I7" s="29">
        <v>7</v>
      </c>
      <c r="J7" s="29">
        <v>8</v>
      </c>
    </row>
    <row r="8" spans="1:10" ht="24.75" customHeight="1" x14ac:dyDescent="0.25">
      <c r="A8" s="29"/>
      <c r="B8" s="30" t="s">
        <v>133</v>
      </c>
      <c r="C8" s="29"/>
      <c r="D8" s="29"/>
      <c r="E8" s="29"/>
      <c r="F8" s="29"/>
      <c r="G8" s="29"/>
      <c r="H8" s="29"/>
      <c r="I8" s="29"/>
      <c r="J8" s="29"/>
    </row>
    <row r="9" spans="1:10" ht="24.75" customHeight="1" x14ac:dyDescent="0.25">
      <c r="A9" s="29">
        <v>1</v>
      </c>
      <c r="B9" s="30" t="s">
        <v>166</v>
      </c>
      <c r="C9" s="28"/>
      <c r="D9" s="28"/>
      <c r="E9" s="28"/>
      <c r="F9" s="28"/>
      <c r="G9" s="28"/>
      <c r="H9" s="28"/>
      <c r="I9" s="28"/>
      <c r="J9" s="28"/>
    </row>
    <row r="10" spans="1:10" ht="24.75" customHeight="1" x14ac:dyDescent="0.25">
      <c r="A10" s="29">
        <v>2</v>
      </c>
      <c r="B10" s="30" t="s">
        <v>167</v>
      </c>
      <c r="C10" s="28"/>
      <c r="D10" s="28"/>
      <c r="E10" s="28"/>
      <c r="F10" s="28"/>
      <c r="G10" s="28"/>
      <c r="H10" s="28"/>
      <c r="I10" s="28"/>
      <c r="J10" s="28"/>
    </row>
    <row r="11" spans="1:10" ht="24.75" customHeight="1" x14ac:dyDescent="0.25">
      <c r="A11" s="29">
        <v>3</v>
      </c>
      <c r="B11" s="30" t="s">
        <v>588</v>
      </c>
      <c r="C11" s="28"/>
      <c r="D11" s="28"/>
      <c r="E11" s="28"/>
      <c r="F11" s="28"/>
      <c r="G11" s="28"/>
      <c r="H11" s="28"/>
      <c r="I11" s="28"/>
      <c r="J11" s="28"/>
    </row>
    <row r="12" spans="1:10" ht="24.75" customHeight="1" x14ac:dyDescent="0.25">
      <c r="A12" s="29"/>
      <c r="B12" s="30"/>
      <c r="C12" s="28"/>
      <c r="D12" s="28"/>
      <c r="E12" s="28"/>
      <c r="F12" s="28"/>
      <c r="G12" s="28"/>
      <c r="H12" s="28"/>
      <c r="I12" s="28"/>
      <c r="J12" s="28"/>
    </row>
  </sheetData>
  <mergeCells count="9">
    <mergeCell ref="I5:J5"/>
    <mergeCell ref="A2:J2"/>
    <mergeCell ref="A3:J3"/>
    <mergeCell ref="A5:A6"/>
    <mergeCell ref="B5:B6"/>
    <mergeCell ref="C5:C6"/>
    <mergeCell ref="D5:F5"/>
    <mergeCell ref="G5:G6"/>
    <mergeCell ref="H5:H6"/>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00B0F0"/>
  </sheetPr>
  <dimension ref="A1:S31"/>
  <sheetViews>
    <sheetView workbookViewId="0">
      <selection activeCell="M17" sqref="M17"/>
    </sheetView>
  </sheetViews>
  <sheetFormatPr defaultRowHeight="15" x14ac:dyDescent="0.25"/>
  <cols>
    <col min="1" max="1" width="6.28515625" customWidth="1"/>
    <col min="2" max="2" width="19.28515625" customWidth="1"/>
    <col min="9" max="9" width="10.28515625" customWidth="1"/>
    <col min="12" max="12" width="9.5703125" customWidth="1"/>
  </cols>
  <sheetData>
    <row r="1" spans="1:19" ht="15.75" x14ac:dyDescent="0.25">
      <c r="S1" s="25" t="s">
        <v>816</v>
      </c>
    </row>
    <row r="2" spans="1:19" ht="15.75" x14ac:dyDescent="0.25">
      <c r="A2" s="594" t="s">
        <v>817</v>
      </c>
      <c r="B2" s="594"/>
      <c r="C2" s="594"/>
      <c r="D2" s="594"/>
      <c r="E2" s="594"/>
      <c r="F2" s="594"/>
      <c r="G2" s="594"/>
      <c r="H2" s="594"/>
      <c r="I2" s="594"/>
      <c r="J2" s="594"/>
      <c r="K2" s="594"/>
      <c r="L2" s="594"/>
      <c r="M2" s="594"/>
      <c r="N2" s="594"/>
      <c r="O2" s="594"/>
      <c r="P2" s="594"/>
      <c r="Q2" s="594"/>
      <c r="R2" s="594"/>
      <c r="S2" s="594"/>
    </row>
    <row r="3" spans="1:19" ht="15.75" x14ac:dyDescent="0.25">
      <c r="A3" s="594" t="s">
        <v>512</v>
      </c>
      <c r="B3" s="594"/>
      <c r="C3" s="594"/>
      <c r="D3" s="594"/>
      <c r="E3" s="594"/>
      <c r="F3" s="594"/>
      <c r="G3" s="594"/>
      <c r="H3" s="594"/>
      <c r="I3" s="594"/>
      <c r="J3" s="594"/>
      <c r="K3" s="594"/>
      <c r="L3" s="594"/>
      <c r="M3" s="594"/>
      <c r="N3" s="594"/>
      <c r="O3" s="594"/>
      <c r="P3" s="594"/>
      <c r="Q3" s="594"/>
      <c r="R3" s="594"/>
      <c r="S3" s="594"/>
    </row>
    <row r="4" spans="1:19" ht="15.75" x14ac:dyDescent="0.25">
      <c r="S4" s="26" t="s">
        <v>56</v>
      </c>
    </row>
    <row r="5" spans="1:19" ht="15.75" x14ac:dyDescent="0.25">
      <c r="A5" s="595" t="s">
        <v>3</v>
      </c>
      <c r="B5" s="595" t="s">
        <v>522</v>
      </c>
      <c r="C5" s="595" t="s">
        <v>818</v>
      </c>
      <c r="D5" s="595"/>
      <c r="E5" s="595"/>
      <c r="F5" s="595" t="s">
        <v>750</v>
      </c>
      <c r="G5" s="595"/>
      <c r="H5" s="595"/>
      <c r="I5" s="595"/>
      <c r="J5" s="595"/>
      <c r="K5" s="595"/>
      <c r="L5" s="595"/>
      <c r="M5" s="595"/>
      <c r="N5" s="595"/>
      <c r="O5" s="595"/>
      <c r="P5" s="595"/>
      <c r="Q5" s="595" t="s">
        <v>374</v>
      </c>
      <c r="R5" s="595"/>
      <c r="S5" s="595"/>
    </row>
    <row r="6" spans="1:19" ht="15.75" x14ac:dyDescent="0.25">
      <c r="A6" s="595"/>
      <c r="B6" s="595"/>
      <c r="C6" s="595" t="s">
        <v>130</v>
      </c>
      <c r="D6" s="595" t="s">
        <v>367</v>
      </c>
      <c r="E6" s="595" t="s">
        <v>149</v>
      </c>
      <c r="F6" s="595" t="s">
        <v>130</v>
      </c>
      <c r="G6" s="595" t="s">
        <v>367</v>
      </c>
      <c r="H6" s="595"/>
      <c r="I6" s="595"/>
      <c r="J6" s="595" t="s">
        <v>96</v>
      </c>
      <c r="K6" s="595"/>
      <c r="L6" s="595"/>
      <c r="M6" s="595" t="s">
        <v>819</v>
      </c>
      <c r="N6" s="595"/>
      <c r="O6" s="595"/>
      <c r="P6" s="595" t="s">
        <v>251</v>
      </c>
      <c r="Q6" s="595" t="s">
        <v>130</v>
      </c>
      <c r="R6" s="595" t="s">
        <v>367</v>
      </c>
      <c r="S6" s="595" t="s">
        <v>149</v>
      </c>
    </row>
    <row r="7" spans="1:19" ht="15.75" x14ac:dyDescent="0.25">
      <c r="A7" s="595"/>
      <c r="B7" s="595"/>
      <c r="C7" s="595"/>
      <c r="D7" s="595"/>
      <c r="E7" s="595"/>
      <c r="F7" s="595"/>
      <c r="G7" s="595" t="s">
        <v>130</v>
      </c>
      <c r="H7" s="595" t="s">
        <v>162</v>
      </c>
      <c r="I7" s="595"/>
      <c r="J7" s="595" t="s">
        <v>130</v>
      </c>
      <c r="K7" s="595" t="s">
        <v>162</v>
      </c>
      <c r="L7" s="595"/>
      <c r="M7" s="595" t="s">
        <v>130</v>
      </c>
      <c r="N7" s="595" t="s">
        <v>162</v>
      </c>
      <c r="O7" s="595"/>
      <c r="P7" s="595"/>
      <c r="Q7" s="595"/>
      <c r="R7" s="595"/>
      <c r="S7" s="595"/>
    </row>
    <row r="8" spans="1:19" ht="78.75" x14ac:dyDescent="0.25">
      <c r="A8" s="595"/>
      <c r="B8" s="595"/>
      <c r="C8" s="595"/>
      <c r="D8" s="595"/>
      <c r="E8" s="595"/>
      <c r="F8" s="595"/>
      <c r="G8" s="595"/>
      <c r="H8" s="29" t="s">
        <v>820</v>
      </c>
      <c r="I8" s="29" t="s">
        <v>420</v>
      </c>
      <c r="J8" s="595"/>
      <c r="K8" s="29" t="s">
        <v>820</v>
      </c>
      <c r="L8" s="29" t="s">
        <v>667</v>
      </c>
      <c r="M8" s="595"/>
      <c r="N8" s="29" t="s">
        <v>367</v>
      </c>
      <c r="O8" s="29" t="s">
        <v>96</v>
      </c>
      <c r="P8" s="595"/>
      <c r="Q8" s="595"/>
      <c r="R8" s="595"/>
      <c r="S8" s="595"/>
    </row>
    <row r="9" spans="1:19" ht="15.75" x14ac:dyDescent="0.25">
      <c r="A9" s="29" t="s">
        <v>15</v>
      </c>
      <c r="B9" s="29" t="s">
        <v>16</v>
      </c>
      <c r="C9" s="29">
        <v>1</v>
      </c>
      <c r="D9" s="29">
        <v>2</v>
      </c>
      <c r="E9" s="29">
        <v>3</v>
      </c>
      <c r="F9" s="29">
        <v>4</v>
      </c>
      <c r="G9" s="29">
        <v>5</v>
      </c>
      <c r="H9" s="29">
        <v>6</v>
      </c>
      <c r="I9" s="29">
        <v>7</v>
      </c>
      <c r="J9" s="29">
        <v>8</v>
      </c>
      <c r="K9" s="29">
        <v>9</v>
      </c>
      <c r="L9" s="29">
        <v>10</v>
      </c>
      <c r="M9" s="29">
        <v>11</v>
      </c>
      <c r="N9" s="29">
        <v>12</v>
      </c>
      <c r="O9" s="29">
        <v>13</v>
      </c>
      <c r="P9" s="29">
        <v>14</v>
      </c>
      <c r="Q9" s="29" t="s">
        <v>821</v>
      </c>
      <c r="R9" s="29" t="s">
        <v>822</v>
      </c>
      <c r="S9" s="29">
        <v>17</v>
      </c>
    </row>
    <row r="10" spans="1:19" ht="15.75" x14ac:dyDescent="0.25">
      <c r="A10" s="30"/>
      <c r="B10" s="30" t="s">
        <v>133</v>
      </c>
      <c r="C10" s="28"/>
      <c r="D10" s="28"/>
      <c r="E10" s="28"/>
      <c r="F10" s="28"/>
      <c r="G10" s="28"/>
      <c r="H10" s="28"/>
      <c r="I10" s="28"/>
      <c r="J10" s="28"/>
      <c r="K10" s="28"/>
      <c r="L10" s="28"/>
      <c r="M10" s="28"/>
      <c r="N10" s="28"/>
      <c r="O10" s="28"/>
      <c r="P10" s="28"/>
      <c r="Q10" s="28"/>
      <c r="R10" s="28"/>
      <c r="S10" s="28"/>
    </row>
    <row r="11" spans="1:19" ht="15.75" x14ac:dyDescent="0.25">
      <c r="A11" s="28">
        <v>1</v>
      </c>
      <c r="B11" s="31" t="s">
        <v>169</v>
      </c>
      <c r="C11" s="28"/>
      <c r="D11" s="28"/>
      <c r="E11" s="28"/>
      <c r="F11" s="28"/>
      <c r="G11" s="28"/>
      <c r="H11" s="28"/>
      <c r="I11" s="28"/>
      <c r="J11" s="28"/>
      <c r="K11" s="28"/>
      <c r="L11" s="28"/>
      <c r="M11" s="28"/>
      <c r="N11" s="28"/>
      <c r="O11" s="28"/>
      <c r="P11" s="28"/>
      <c r="Q11" s="28"/>
      <c r="R11" s="28"/>
      <c r="S11" s="28"/>
    </row>
    <row r="12" spans="1:19" ht="15.75" x14ac:dyDescent="0.25">
      <c r="A12" s="28">
        <v>2</v>
      </c>
      <c r="B12" s="31" t="s">
        <v>170</v>
      </c>
      <c r="C12" s="28"/>
      <c r="D12" s="28"/>
      <c r="E12" s="28"/>
      <c r="F12" s="28"/>
      <c r="G12" s="28"/>
      <c r="H12" s="28"/>
      <c r="I12" s="28"/>
      <c r="J12" s="28"/>
      <c r="K12" s="28"/>
      <c r="L12" s="28"/>
      <c r="M12" s="28"/>
      <c r="N12" s="28"/>
      <c r="O12" s="28"/>
      <c r="P12" s="28"/>
      <c r="Q12" s="28"/>
      <c r="R12" s="28"/>
      <c r="S12" s="28"/>
    </row>
    <row r="13" spans="1:19" ht="15.75" x14ac:dyDescent="0.25">
      <c r="A13" s="28">
        <v>3</v>
      </c>
      <c r="B13" s="31" t="s">
        <v>609</v>
      </c>
      <c r="C13" s="28"/>
      <c r="D13" s="28"/>
      <c r="E13" s="28"/>
      <c r="F13" s="28"/>
      <c r="G13" s="28"/>
      <c r="H13" s="28"/>
      <c r="I13" s="28"/>
      <c r="J13" s="28"/>
      <c r="K13" s="28"/>
      <c r="L13" s="28"/>
      <c r="M13" s="28"/>
      <c r="N13" s="28"/>
      <c r="O13" s="28"/>
      <c r="P13" s="28"/>
      <c r="Q13" s="28"/>
      <c r="R13" s="28"/>
      <c r="S13" s="28"/>
    </row>
    <row r="14" spans="1:19" ht="15.75" x14ac:dyDescent="0.25">
      <c r="A14" s="28">
        <v>4</v>
      </c>
      <c r="B14" s="31" t="s">
        <v>172</v>
      </c>
      <c r="C14" s="28"/>
      <c r="D14" s="28"/>
      <c r="E14" s="28"/>
      <c r="F14" s="28"/>
      <c r="G14" s="28"/>
      <c r="H14" s="28"/>
      <c r="I14" s="28"/>
      <c r="J14" s="28"/>
      <c r="K14" s="28"/>
      <c r="L14" s="28"/>
      <c r="M14" s="28"/>
      <c r="N14" s="28"/>
      <c r="O14" s="28"/>
      <c r="P14" s="28"/>
      <c r="Q14" s="28"/>
      <c r="R14" s="28"/>
      <c r="S14" s="28"/>
    </row>
    <row r="15" spans="1:19" ht="15.75" x14ac:dyDescent="0.25">
      <c r="A15" s="28">
        <v>5</v>
      </c>
      <c r="B15" s="31" t="s">
        <v>198</v>
      </c>
      <c r="C15" s="28"/>
      <c r="D15" s="28"/>
      <c r="E15" s="28"/>
      <c r="F15" s="28"/>
      <c r="G15" s="28"/>
      <c r="H15" s="28"/>
      <c r="I15" s="28"/>
      <c r="J15" s="28"/>
      <c r="K15" s="28"/>
      <c r="L15" s="28"/>
      <c r="M15" s="28"/>
      <c r="N15" s="28"/>
      <c r="O15" s="28"/>
      <c r="P15" s="28"/>
      <c r="Q15" s="28"/>
      <c r="R15" s="28"/>
      <c r="S15" s="28"/>
    </row>
    <row r="16" spans="1:19" ht="15.75" x14ac:dyDescent="0.25">
      <c r="A16" s="28">
        <v>6</v>
      </c>
      <c r="B16" s="31" t="s">
        <v>174</v>
      </c>
      <c r="C16" s="28"/>
      <c r="D16" s="28"/>
      <c r="E16" s="28"/>
      <c r="F16" s="28"/>
      <c r="G16" s="28"/>
      <c r="H16" s="28"/>
      <c r="I16" s="28"/>
      <c r="J16" s="28"/>
      <c r="K16" s="28"/>
      <c r="L16" s="28"/>
      <c r="M16" s="28"/>
      <c r="N16" s="28"/>
      <c r="O16" s="28"/>
      <c r="P16" s="28"/>
      <c r="Q16" s="28"/>
      <c r="R16" s="28"/>
      <c r="S16" s="28"/>
    </row>
    <row r="17" spans="1:19" ht="15.75" x14ac:dyDescent="0.25">
      <c r="A17" s="28">
        <v>7</v>
      </c>
      <c r="B17" s="31" t="s">
        <v>175</v>
      </c>
      <c r="C17" s="28"/>
      <c r="D17" s="28"/>
      <c r="E17" s="28"/>
      <c r="F17" s="28"/>
      <c r="G17" s="28"/>
      <c r="H17" s="28"/>
      <c r="I17" s="28"/>
      <c r="J17" s="28"/>
      <c r="K17" s="28"/>
      <c r="L17" s="28"/>
      <c r="M17" s="28"/>
      <c r="N17" s="28"/>
      <c r="O17" s="28"/>
      <c r="P17" s="28"/>
      <c r="Q17" s="28"/>
      <c r="R17" s="28"/>
      <c r="S17" s="28"/>
    </row>
    <row r="18" spans="1:19" ht="15.75" x14ac:dyDescent="0.25">
      <c r="A18" s="28">
        <v>8</v>
      </c>
      <c r="B18" s="31" t="s">
        <v>611</v>
      </c>
      <c r="C18" s="28"/>
      <c r="D18" s="28"/>
      <c r="E18" s="28"/>
      <c r="F18" s="28"/>
      <c r="G18" s="28"/>
      <c r="H18" s="28"/>
      <c r="I18" s="28"/>
      <c r="J18" s="28"/>
      <c r="K18" s="28"/>
      <c r="L18" s="28"/>
      <c r="M18" s="28"/>
      <c r="N18" s="28"/>
      <c r="O18" s="28"/>
      <c r="P18" s="28"/>
      <c r="Q18" s="28"/>
      <c r="R18" s="28"/>
      <c r="S18" s="28"/>
    </row>
    <row r="19" spans="1:19" ht="15.75" x14ac:dyDescent="0.25">
      <c r="A19" s="28">
        <v>9</v>
      </c>
      <c r="B19" s="31" t="s">
        <v>198</v>
      </c>
      <c r="C19" s="28"/>
      <c r="D19" s="28"/>
      <c r="E19" s="28"/>
      <c r="F19" s="28"/>
      <c r="G19" s="28"/>
      <c r="H19" s="28"/>
      <c r="I19" s="28"/>
      <c r="J19" s="28"/>
      <c r="K19" s="28"/>
      <c r="L19" s="28"/>
      <c r="M19" s="28"/>
      <c r="N19" s="28"/>
      <c r="O19" s="28"/>
      <c r="P19" s="28"/>
      <c r="Q19" s="28"/>
      <c r="R19" s="28"/>
      <c r="S19" s="28"/>
    </row>
    <row r="20" spans="1:19" ht="15.75" x14ac:dyDescent="0.25">
      <c r="A20" s="27" t="s">
        <v>649</v>
      </c>
    </row>
    <row r="21" spans="1:19" ht="15.75" x14ac:dyDescent="0.25">
      <c r="A21" s="33" t="s">
        <v>825</v>
      </c>
    </row>
    <row r="22" spans="1:19" ht="15.75" x14ac:dyDescent="0.25">
      <c r="A22" s="33" t="s">
        <v>823</v>
      </c>
    </row>
    <row r="23" spans="1:19" ht="15.75" x14ac:dyDescent="0.25">
      <c r="A23" s="33" t="s">
        <v>824</v>
      </c>
    </row>
    <row r="24" spans="1:19" x14ac:dyDescent="0.25">
      <c r="A24" s="40"/>
    </row>
    <row r="25" spans="1:19" x14ac:dyDescent="0.25">
      <c r="A25" s="40"/>
    </row>
    <row r="26" spans="1:19" x14ac:dyDescent="0.25">
      <c r="A26" s="40"/>
    </row>
    <row r="27" spans="1:19" x14ac:dyDescent="0.25">
      <c r="A27" s="40"/>
    </row>
    <row r="28" spans="1:19" x14ac:dyDescent="0.25">
      <c r="A28" s="40"/>
    </row>
    <row r="29" spans="1:19" x14ac:dyDescent="0.25">
      <c r="A29" s="40"/>
    </row>
    <row r="30" spans="1:19" x14ac:dyDescent="0.25">
      <c r="A30" s="40"/>
    </row>
    <row r="31" spans="1:19" x14ac:dyDescent="0.25">
      <c r="A31" s="40"/>
    </row>
  </sheetData>
  <mergeCells count="24">
    <mergeCell ref="A2:S2"/>
    <mergeCell ref="A3:S3"/>
    <mergeCell ref="G7:G8"/>
    <mergeCell ref="H7:I7"/>
    <mergeCell ref="J7:J8"/>
    <mergeCell ref="K7:L7"/>
    <mergeCell ref="M7:M8"/>
    <mergeCell ref="N7:O7"/>
    <mergeCell ref="J6:L6"/>
    <mergeCell ref="M6:O6"/>
    <mergeCell ref="Q6:Q8"/>
    <mergeCell ref="R6:R8"/>
    <mergeCell ref="S6:S8"/>
    <mergeCell ref="A5:A8"/>
    <mergeCell ref="B5:B8"/>
    <mergeCell ref="C5:E5"/>
    <mergeCell ref="F5:P5"/>
    <mergeCell ref="Q5:S5"/>
    <mergeCell ref="C6:C8"/>
    <mergeCell ref="D6:D8"/>
    <mergeCell ref="E6:E8"/>
    <mergeCell ref="F6:F8"/>
    <mergeCell ref="G6:I6"/>
    <mergeCell ref="P6:P8"/>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00B0F0"/>
  </sheetPr>
  <dimension ref="A1:Z24"/>
  <sheetViews>
    <sheetView workbookViewId="0">
      <selection activeCell="M17" sqref="M17"/>
    </sheetView>
  </sheetViews>
  <sheetFormatPr defaultRowHeight="15" x14ac:dyDescent="0.25"/>
  <cols>
    <col min="1" max="1" width="6.28515625" customWidth="1"/>
    <col min="2" max="2" width="22.5703125" customWidth="1"/>
  </cols>
  <sheetData>
    <row r="1" spans="1:26" ht="15.75" x14ac:dyDescent="0.25">
      <c r="Z1" s="25" t="s">
        <v>826</v>
      </c>
    </row>
    <row r="2" spans="1:26" ht="15.75" x14ac:dyDescent="0.25">
      <c r="A2" s="594" t="s">
        <v>827</v>
      </c>
      <c r="B2" s="594"/>
      <c r="C2" s="594"/>
      <c r="D2" s="594"/>
      <c r="E2" s="594"/>
      <c r="F2" s="594"/>
      <c r="G2" s="594"/>
      <c r="H2" s="594"/>
      <c r="I2" s="594"/>
      <c r="J2" s="594"/>
      <c r="K2" s="594"/>
      <c r="L2" s="594"/>
      <c r="M2" s="594"/>
      <c r="N2" s="594"/>
      <c r="O2" s="594"/>
      <c r="P2" s="594"/>
      <c r="Q2" s="594"/>
      <c r="R2" s="594"/>
      <c r="S2" s="594"/>
      <c r="T2" s="594"/>
      <c r="U2" s="594"/>
      <c r="V2" s="594"/>
      <c r="W2" s="594"/>
      <c r="X2" s="594"/>
      <c r="Y2" s="594"/>
      <c r="Z2" s="594"/>
    </row>
    <row r="3" spans="1:26" ht="15.75" x14ac:dyDescent="0.25">
      <c r="A3" s="594" t="s">
        <v>512</v>
      </c>
      <c r="B3" s="594"/>
      <c r="C3" s="594"/>
      <c r="D3" s="594"/>
      <c r="E3" s="594"/>
      <c r="F3" s="594"/>
      <c r="G3" s="594"/>
      <c r="H3" s="594"/>
      <c r="I3" s="594"/>
      <c r="J3" s="594"/>
      <c r="K3" s="594"/>
      <c r="L3" s="594"/>
      <c r="M3" s="594"/>
      <c r="N3" s="594"/>
      <c r="O3" s="594"/>
      <c r="P3" s="594"/>
      <c r="Q3" s="594"/>
      <c r="R3" s="594"/>
      <c r="S3" s="594"/>
      <c r="T3" s="594"/>
      <c r="U3" s="594"/>
      <c r="V3" s="594"/>
      <c r="W3" s="594"/>
      <c r="X3" s="594"/>
      <c r="Y3" s="594"/>
      <c r="Z3" s="594"/>
    </row>
    <row r="4" spans="1:26" ht="15.75" x14ac:dyDescent="0.25">
      <c r="Z4" s="26" t="s">
        <v>56</v>
      </c>
    </row>
    <row r="5" spans="1:26" ht="15.75" x14ac:dyDescent="0.25">
      <c r="A5" s="595" t="s">
        <v>3</v>
      </c>
      <c r="B5" s="595" t="s">
        <v>522</v>
      </c>
      <c r="C5" s="595" t="s">
        <v>663</v>
      </c>
      <c r="D5" s="595"/>
      <c r="E5" s="595"/>
      <c r="F5" s="595"/>
      <c r="G5" s="595"/>
      <c r="H5" s="595"/>
      <c r="I5" s="595"/>
      <c r="J5" s="595"/>
      <c r="K5" s="595" t="s">
        <v>750</v>
      </c>
      <c r="L5" s="595"/>
      <c r="M5" s="595"/>
      <c r="N5" s="595"/>
      <c r="O5" s="595"/>
      <c r="P5" s="595"/>
      <c r="Q5" s="595"/>
      <c r="R5" s="595"/>
      <c r="S5" s="595" t="s">
        <v>828</v>
      </c>
      <c r="T5" s="595"/>
      <c r="U5" s="595"/>
      <c r="V5" s="595"/>
      <c r="W5" s="595"/>
      <c r="X5" s="595"/>
      <c r="Y5" s="595"/>
      <c r="Z5" s="595"/>
    </row>
    <row r="6" spans="1:26" ht="21" customHeight="1" x14ac:dyDescent="0.25">
      <c r="A6" s="595"/>
      <c r="B6" s="595"/>
      <c r="C6" s="595" t="s">
        <v>130</v>
      </c>
      <c r="D6" s="595" t="s">
        <v>758</v>
      </c>
      <c r="E6" s="595" t="s">
        <v>759</v>
      </c>
      <c r="F6" s="595"/>
      <c r="G6" s="595"/>
      <c r="H6" s="595"/>
      <c r="I6" s="595"/>
      <c r="J6" s="595"/>
      <c r="K6" s="595" t="s">
        <v>130</v>
      </c>
      <c r="L6" s="595" t="s">
        <v>758</v>
      </c>
      <c r="M6" s="595" t="s">
        <v>759</v>
      </c>
      <c r="N6" s="595"/>
      <c r="O6" s="595"/>
      <c r="P6" s="595"/>
      <c r="Q6" s="595"/>
      <c r="R6" s="595"/>
      <c r="S6" s="595" t="s">
        <v>130</v>
      </c>
      <c r="T6" s="595" t="s">
        <v>758</v>
      </c>
      <c r="U6" s="595" t="s">
        <v>759</v>
      </c>
      <c r="V6" s="595"/>
      <c r="W6" s="595"/>
      <c r="X6" s="595"/>
      <c r="Y6" s="595"/>
      <c r="Z6" s="595"/>
    </row>
    <row r="7" spans="1:26" ht="24.75" customHeight="1" x14ac:dyDescent="0.25">
      <c r="A7" s="595"/>
      <c r="B7" s="595"/>
      <c r="C7" s="595"/>
      <c r="D7" s="595"/>
      <c r="E7" s="595" t="s">
        <v>130</v>
      </c>
      <c r="F7" s="595" t="s">
        <v>829</v>
      </c>
      <c r="G7" s="595"/>
      <c r="H7" s="595" t="s">
        <v>830</v>
      </c>
      <c r="I7" s="595" t="s">
        <v>831</v>
      </c>
      <c r="J7" s="595" t="s">
        <v>832</v>
      </c>
      <c r="K7" s="595"/>
      <c r="L7" s="595"/>
      <c r="M7" s="595" t="s">
        <v>130</v>
      </c>
      <c r="N7" s="595" t="s">
        <v>829</v>
      </c>
      <c r="O7" s="595"/>
      <c r="P7" s="595" t="s">
        <v>830</v>
      </c>
      <c r="Q7" s="595" t="s">
        <v>831</v>
      </c>
      <c r="R7" s="595" t="s">
        <v>832</v>
      </c>
      <c r="S7" s="595"/>
      <c r="T7" s="595"/>
      <c r="U7" s="595" t="s">
        <v>130</v>
      </c>
      <c r="V7" s="595" t="s">
        <v>829</v>
      </c>
      <c r="W7" s="595"/>
      <c r="X7" s="595" t="s">
        <v>830</v>
      </c>
      <c r="Y7" s="595" t="s">
        <v>831</v>
      </c>
      <c r="Z7" s="595" t="s">
        <v>832</v>
      </c>
    </row>
    <row r="8" spans="1:26" ht="107.25" customHeight="1" x14ac:dyDescent="0.25">
      <c r="A8" s="595"/>
      <c r="B8" s="595"/>
      <c r="C8" s="595"/>
      <c r="D8" s="595"/>
      <c r="E8" s="595"/>
      <c r="F8" s="29" t="s">
        <v>697</v>
      </c>
      <c r="G8" s="29" t="s">
        <v>135</v>
      </c>
      <c r="H8" s="595"/>
      <c r="I8" s="595"/>
      <c r="J8" s="595"/>
      <c r="K8" s="595"/>
      <c r="L8" s="595"/>
      <c r="M8" s="595"/>
      <c r="N8" s="29" t="s">
        <v>697</v>
      </c>
      <c r="O8" s="29" t="s">
        <v>135</v>
      </c>
      <c r="P8" s="595"/>
      <c r="Q8" s="595"/>
      <c r="R8" s="595"/>
      <c r="S8" s="595"/>
      <c r="T8" s="595"/>
      <c r="U8" s="595"/>
      <c r="V8" s="29" t="s">
        <v>697</v>
      </c>
      <c r="W8" s="29" t="s">
        <v>135</v>
      </c>
      <c r="X8" s="595"/>
      <c r="Y8" s="595"/>
      <c r="Z8" s="595"/>
    </row>
    <row r="9" spans="1:26" s="39" customFormat="1" ht="12.75" x14ac:dyDescent="0.2">
      <c r="A9" s="38" t="s">
        <v>15</v>
      </c>
      <c r="B9" s="38" t="s">
        <v>16</v>
      </c>
      <c r="C9" s="38">
        <v>1</v>
      </c>
      <c r="D9" s="38">
        <v>2</v>
      </c>
      <c r="E9" s="38" t="s">
        <v>833</v>
      </c>
      <c r="F9" s="38">
        <v>4</v>
      </c>
      <c r="G9" s="38">
        <v>5</v>
      </c>
      <c r="H9" s="38">
        <v>6</v>
      </c>
      <c r="I9" s="38">
        <v>7</v>
      </c>
      <c r="J9" s="38">
        <v>8</v>
      </c>
      <c r="K9" s="38">
        <v>9</v>
      </c>
      <c r="L9" s="38">
        <v>10</v>
      </c>
      <c r="M9" s="38" t="s">
        <v>834</v>
      </c>
      <c r="N9" s="38">
        <v>12</v>
      </c>
      <c r="O9" s="38">
        <v>13</v>
      </c>
      <c r="P9" s="38">
        <v>14</v>
      </c>
      <c r="Q9" s="38">
        <v>15</v>
      </c>
      <c r="R9" s="38">
        <v>16</v>
      </c>
      <c r="S9" s="38" t="s">
        <v>835</v>
      </c>
      <c r="T9" s="38" t="s">
        <v>836</v>
      </c>
      <c r="U9" s="38" t="s">
        <v>837</v>
      </c>
      <c r="V9" s="38" t="s">
        <v>838</v>
      </c>
      <c r="W9" s="38" t="s">
        <v>839</v>
      </c>
      <c r="X9" s="38" t="s">
        <v>840</v>
      </c>
      <c r="Y9" s="38" t="s">
        <v>841</v>
      </c>
      <c r="Z9" s="38" t="s">
        <v>842</v>
      </c>
    </row>
    <row r="10" spans="1:26" ht="15.75" x14ac:dyDescent="0.25">
      <c r="A10" s="31"/>
      <c r="B10" s="30" t="s">
        <v>133</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5.75" x14ac:dyDescent="0.25">
      <c r="A11" s="28">
        <v>1</v>
      </c>
      <c r="B11" s="31" t="s">
        <v>169</v>
      </c>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5.75" x14ac:dyDescent="0.25">
      <c r="A12" s="28">
        <v>2</v>
      </c>
      <c r="B12" s="31" t="s">
        <v>170</v>
      </c>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5.75" x14ac:dyDescent="0.25">
      <c r="A13" s="28">
        <v>3</v>
      </c>
      <c r="B13" s="31" t="s">
        <v>609</v>
      </c>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5.75" x14ac:dyDescent="0.25">
      <c r="A14" s="28">
        <v>4</v>
      </c>
      <c r="B14" s="31" t="s">
        <v>172</v>
      </c>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5.75" x14ac:dyDescent="0.25">
      <c r="A15" s="28">
        <v>5</v>
      </c>
      <c r="B15" s="31" t="s">
        <v>198</v>
      </c>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5.75" x14ac:dyDescent="0.25">
      <c r="A16" s="28">
        <v>6</v>
      </c>
      <c r="B16" s="31" t="s">
        <v>174</v>
      </c>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5.75" x14ac:dyDescent="0.25">
      <c r="A17" s="28">
        <v>7</v>
      </c>
      <c r="B17" s="31" t="s">
        <v>175</v>
      </c>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5.75" x14ac:dyDescent="0.25">
      <c r="A18" s="28">
        <v>8</v>
      </c>
      <c r="B18" s="31" t="s">
        <v>611</v>
      </c>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5.75" x14ac:dyDescent="0.25">
      <c r="A19" s="28">
        <v>9</v>
      </c>
      <c r="B19" s="31" t="s">
        <v>198</v>
      </c>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5.75" x14ac:dyDescent="0.25">
      <c r="A20" s="28">
        <v>10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5.75" x14ac:dyDescent="0.25">
      <c r="A21" s="28">
        <v>11</v>
      </c>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5.75" x14ac:dyDescent="0.25">
      <c r="A22" s="28">
        <v>12</v>
      </c>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5.75" x14ac:dyDescent="0.25">
      <c r="A23" s="28">
        <v>13</v>
      </c>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5.75" x14ac:dyDescent="0.25">
      <c r="A24" s="34" t="s">
        <v>843</v>
      </c>
    </row>
  </sheetData>
  <mergeCells count="31">
    <mergeCell ref="A2:Z2"/>
    <mergeCell ref="A3:Z3"/>
    <mergeCell ref="N7:O7"/>
    <mergeCell ref="P7:P8"/>
    <mergeCell ref="Q7:Q8"/>
    <mergeCell ref="R7:R8"/>
    <mergeCell ref="U7:U8"/>
    <mergeCell ref="V7:W7"/>
    <mergeCell ref="M6:R6"/>
    <mergeCell ref="S6:S8"/>
    <mergeCell ref="A5:A8"/>
    <mergeCell ref="B5:B8"/>
    <mergeCell ref="C5:J5"/>
    <mergeCell ref="K5:R5"/>
    <mergeCell ref="S5:Z5"/>
    <mergeCell ref="C6:C8"/>
    <mergeCell ref="D6:D8"/>
    <mergeCell ref="M7:M8"/>
    <mergeCell ref="X7:X8"/>
    <mergeCell ref="Y7:Y8"/>
    <mergeCell ref="Z7:Z8"/>
    <mergeCell ref="E6:J6"/>
    <mergeCell ref="K6:K8"/>
    <mergeCell ref="L6:L8"/>
    <mergeCell ref="F7:G7"/>
    <mergeCell ref="H7:H8"/>
    <mergeCell ref="I7:I8"/>
    <mergeCell ref="J7:J8"/>
    <mergeCell ref="T6:T8"/>
    <mergeCell ref="U6:Z6"/>
    <mergeCell ref="E7:E8"/>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00B0F0"/>
  </sheetPr>
  <dimension ref="A1:H24"/>
  <sheetViews>
    <sheetView workbookViewId="0">
      <selection activeCell="M17" sqref="M17"/>
    </sheetView>
  </sheetViews>
  <sheetFormatPr defaultRowHeight="15" x14ac:dyDescent="0.25"/>
  <cols>
    <col min="1" max="1" width="6.28515625" customWidth="1"/>
    <col min="2" max="2" width="25.5703125" customWidth="1"/>
    <col min="3" max="8" width="10" customWidth="1"/>
  </cols>
  <sheetData>
    <row r="1" spans="1:8" ht="15.75" x14ac:dyDescent="0.25">
      <c r="H1" s="25" t="s">
        <v>844</v>
      </c>
    </row>
    <row r="2" spans="1:8" ht="15.75" x14ac:dyDescent="0.25">
      <c r="A2" s="594" t="s">
        <v>845</v>
      </c>
      <c r="B2" s="594"/>
      <c r="C2" s="594"/>
      <c r="D2" s="594"/>
      <c r="E2" s="594"/>
      <c r="F2" s="594"/>
      <c r="G2" s="594"/>
      <c r="H2" s="594"/>
    </row>
    <row r="3" spans="1:8" ht="15.75" x14ac:dyDescent="0.25">
      <c r="A3" s="594" t="s">
        <v>512</v>
      </c>
      <c r="B3" s="594"/>
      <c r="C3" s="594"/>
      <c r="D3" s="594"/>
      <c r="E3" s="594"/>
      <c r="F3" s="594"/>
      <c r="G3" s="594"/>
      <c r="H3" s="594"/>
    </row>
    <row r="4" spans="1:8" ht="15.75" x14ac:dyDescent="0.25">
      <c r="H4" s="26" t="s">
        <v>56</v>
      </c>
    </row>
    <row r="5" spans="1:8" ht="15.75" x14ac:dyDescent="0.25">
      <c r="A5" s="595" t="s">
        <v>3</v>
      </c>
      <c r="B5" s="595" t="s">
        <v>161</v>
      </c>
      <c r="C5" s="595" t="s">
        <v>846</v>
      </c>
      <c r="D5" s="595" t="s">
        <v>162</v>
      </c>
      <c r="E5" s="595"/>
      <c r="F5" s="595"/>
      <c r="G5" s="595"/>
      <c r="H5" s="595"/>
    </row>
    <row r="6" spans="1:8" ht="110.25" x14ac:dyDescent="0.25">
      <c r="A6" s="595"/>
      <c r="B6" s="595"/>
      <c r="C6" s="595"/>
      <c r="D6" s="29" t="s">
        <v>847</v>
      </c>
      <c r="E6" s="29" t="s">
        <v>710</v>
      </c>
      <c r="F6" s="29" t="s">
        <v>711</v>
      </c>
      <c r="G6" s="29" t="s">
        <v>243</v>
      </c>
      <c r="H6" s="29" t="s">
        <v>848</v>
      </c>
    </row>
    <row r="7" spans="1:8" ht="15.75" x14ac:dyDescent="0.25">
      <c r="A7" s="29" t="s">
        <v>15</v>
      </c>
      <c r="B7" s="29" t="s">
        <v>16</v>
      </c>
      <c r="C7" s="29">
        <v>1</v>
      </c>
      <c r="D7" s="29">
        <v>2</v>
      </c>
      <c r="E7" s="29">
        <v>3</v>
      </c>
      <c r="F7" s="29">
        <v>4</v>
      </c>
      <c r="G7" s="29">
        <v>5</v>
      </c>
      <c r="H7" s="29">
        <v>6</v>
      </c>
    </row>
    <row r="8" spans="1:8" ht="15.75" x14ac:dyDescent="0.25">
      <c r="A8" s="29"/>
      <c r="B8" s="30" t="s">
        <v>133</v>
      </c>
      <c r="C8" s="29"/>
      <c r="D8" s="29"/>
      <c r="E8" s="29"/>
      <c r="F8" s="29"/>
      <c r="G8" s="29"/>
      <c r="H8" s="29"/>
    </row>
    <row r="9" spans="1:8" ht="15.75" x14ac:dyDescent="0.25">
      <c r="A9" s="28">
        <v>1</v>
      </c>
      <c r="B9" s="31" t="s">
        <v>169</v>
      </c>
      <c r="C9" s="28"/>
      <c r="D9" s="28"/>
      <c r="E9" s="28"/>
      <c r="F9" s="28"/>
      <c r="G9" s="28"/>
      <c r="H9" s="28"/>
    </row>
    <row r="10" spans="1:8" ht="15.75" x14ac:dyDescent="0.25">
      <c r="A10" s="28">
        <v>2</v>
      </c>
      <c r="B10" s="31" t="s">
        <v>170</v>
      </c>
      <c r="C10" s="28"/>
      <c r="D10" s="28"/>
      <c r="E10" s="28"/>
      <c r="F10" s="28"/>
      <c r="G10" s="28"/>
      <c r="H10" s="28"/>
    </row>
    <row r="11" spans="1:8" ht="15.75" x14ac:dyDescent="0.25">
      <c r="A11" s="28">
        <v>3</v>
      </c>
      <c r="B11" s="31" t="s">
        <v>609</v>
      </c>
      <c r="C11" s="28"/>
      <c r="D11" s="28"/>
      <c r="E11" s="28"/>
      <c r="F11" s="28"/>
      <c r="G11" s="28"/>
      <c r="H11" s="28"/>
    </row>
    <row r="12" spans="1:8" ht="15.75" x14ac:dyDescent="0.25">
      <c r="A12" s="28">
        <v>4</v>
      </c>
      <c r="B12" s="31" t="s">
        <v>172</v>
      </c>
      <c r="C12" s="28"/>
      <c r="D12" s="28"/>
      <c r="E12" s="28"/>
      <c r="F12" s="28"/>
      <c r="G12" s="28"/>
      <c r="H12" s="28"/>
    </row>
    <row r="13" spans="1:8" ht="15.75" x14ac:dyDescent="0.25">
      <c r="A13" s="28">
        <v>5</v>
      </c>
      <c r="B13" s="31" t="s">
        <v>576</v>
      </c>
      <c r="C13" s="28"/>
      <c r="D13" s="28"/>
      <c r="E13" s="28"/>
      <c r="F13" s="28"/>
      <c r="G13" s="28"/>
      <c r="H13" s="28"/>
    </row>
    <row r="14" spans="1:8" ht="15.75" x14ac:dyDescent="0.25">
      <c r="A14" s="28">
        <v>6</v>
      </c>
      <c r="B14" s="31" t="s">
        <v>174</v>
      </c>
      <c r="C14" s="28"/>
      <c r="D14" s="28"/>
      <c r="E14" s="28"/>
      <c r="F14" s="28"/>
      <c r="G14" s="28"/>
      <c r="H14" s="28"/>
    </row>
    <row r="15" spans="1:8" ht="15.75" x14ac:dyDescent="0.25">
      <c r="A15" s="28">
        <v>7</v>
      </c>
      <c r="B15" s="31" t="s">
        <v>175</v>
      </c>
      <c r="C15" s="28"/>
      <c r="D15" s="28"/>
      <c r="E15" s="28"/>
      <c r="F15" s="28"/>
      <c r="G15" s="28"/>
      <c r="H15" s="28"/>
    </row>
    <row r="16" spans="1:8" ht="15.75" x14ac:dyDescent="0.25">
      <c r="A16" s="28">
        <v>8</v>
      </c>
      <c r="B16" s="31" t="s">
        <v>611</v>
      </c>
      <c r="C16" s="28"/>
      <c r="D16" s="28"/>
      <c r="E16" s="28"/>
      <c r="F16" s="28"/>
      <c r="G16" s="28"/>
      <c r="H16" s="28"/>
    </row>
    <row r="17" spans="1:8" ht="15.75" x14ac:dyDescent="0.25">
      <c r="A17" s="28">
        <v>9</v>
      </c>
      <c r="B17" s="31" t="s">
        <v>51</v>
      </c>
      <c r="C17" s="28"/>
      <c r="D17" s="28"/>
      <c r="E17" s="28"/>
      <c r="F17" s="28"/>
      <c r="G17" s="28"/>
      <c r="H17" s="28"/>
    </row>
    <row r="18" spans="1:8" ht="15.75" x14ac:dyDescent="0.25">
      <c r="A18" s="28">
        <v>10</v>
      </c>
      <c r="B18" s="31"/>
      <c r="C18" s="28"/>
      <c r="D18" s="28"/>
      <c r="E18" s="28"/>
      <c r="F18" s="28"/>
      <c r="G18" s="28"/>
      <c r="H18" s="28"/>
    </row>
    <row r="19" spans="1:8" ht="15.75" x14ac:dyDescent="0.25">
      <c r="A19" s="28">
        <v>11</v>
      </c>
      <c r="B19" s="31"/>
      <c r="C19" s="28"/>
      <c r="D19" s="28"/>
      <c r="E19" s="28"/>
      <c r="F19" s="28"/>
      <c r="G19" s="28"/>
      <c r="H19" s="28"/>
    </row>
    <row r="20" spans="1:8" ht="15.75" x14ac:dyDescent="0.25">
      <c r="A20" s="28">
        <v>12</v>
      </c>
      <c r="B20" s="31"/>
      <c r="C20" s="28"/>
      <c r="D20" s="28"/>
      <c r="E20" s="28"/>
      <c r="F20" s="28"/>
      <c r="G20" s="28"/>
      <c r="H20" s="28"/>
    </row>
    <row r="21" spans="1:8" ht="15.75" x14ac:dyDescent="0.25">
      <c r="A21" s="28">
        <v>13</v>
      </c>
      <c r="B21" s="31"/>
      <c r="C21" s="28"/>
      <c r="D21" s="28"/>
      <c r="E21" s="28"/>
      <c r="F21" s="28"/>
      <c r="G21" s="28"/>
      <c r="H21" s="28"/>
    </row>
    <row r="22" spans="1:8" ht="15.75" x14ac:dyDescent="0.25">
      <c r="A22" s="28">
        <v>14</v>
      </c>
      <c r="B22" s="31"/>
      <c r="C22" s="28"/>
      <c r="D22" s="28"/>
      <c r="E22" s="28"/>
      <c r="F22" s="28"/>
      <c r="G22" s="28"/>
      <c r="H22" s="28"/>
    </row>
    <row r="23" spans="1:8" ht="15.75" x14ac:dyDescent="0.25">
      <c r="A23" s="28">
        <v>15</v>
      </c>
      <c r="B23" s="31"/>
      <c r="C23" s="28"/>
      <c r="D23" s="28"/>
      <c r="E23" s="28"/>
      <c r="F23" s="28"/>
      <c r="G23" s="28"/>
      <c r="H23" s="28"/>
    </row>
    <row r="24" spans="1:8" ht="15.75" x14ac:dyDescent="0.25">
      <c r="A24" s="28">
        <v>16</v>
      </c>
      <c r="B24" s="31"/>
      <c r="C24" s="28"/>
      <c r="D24" s="28"/>
      <c r="E24" s="28"/>
      <c r="F24" s="28"/>
      <c r="G24" s="28"/>
      <c r="H24" s="28"/>
    </row>
  </sheetData>
  <mergeCells count="6">
    <mergeCell ref="A5:A6"/>
    <mergeCell ref="B5:B6"/>
    <mergeCell ref="C5:C6"/>
    <mergeCell ref="D5:H5"/>
    <mergeCell ref="A2:H2"/>
    <mergeCell ref="A3:H3"/>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00B0F0"/>
  </sheetPr>
  <dimension ref="A1:U27"/>
  <sheetViews>
    <sheetView workbookViewId="0">
      <selection activeCell="M17" sqref="M17"/>
    </sheetView>
  </sheetViews>
  <sheetFormatPr defaultRowHeight="15" x14ac:dyDescent="0.25"/>
  <cols>
    <col min="1" max="1" width="6.28515625" customWidth="1"/>
    <col min="2" max="2" width="32.42578125" customWidth="1"/>
  </cols>
  <sheetData>
    <row r="1" spans="1:21" ht="15.75" x14ac:dyDescent="0.25">
      <c r="U1" s="25" t="s">
        <v>849</v>
      </c>
    </row>
    <row r="2" spans="1:21" ht="15.75" x14ac:dyDescent="0.25">
      <c r="A2" s="594" t="s">
        <v>850</v>
      </c>
      <c r="B2" s="594"/>
      <c r="C2" s="594"/>
      <c r="D2" s="594"/>
      <c r="E2" s="594"/>
      <c r="F2" s="594"/>
      <c r="G2" s="594"/>
      <c r="H2" s="594"/>
      <c r="I2" s="594"/>
      <c r="J2" s="594"/>
      <c r="K2" s="594"/>
      <c r="L2" s="594"/>
      <c r="M2" s="594"/>
      <c r="N2" s="594"/>
      <c r="O2" s="594"/>
      <c r="P2" s="594"/>
      <c r="Q2" s="594"/>
      <c r="R2" s="594"/>
      <c r="S2" s="594"/>
      <c r="T2" s="594"/>
      <c r="U2" s="594"/>
    </row>
    <row r="3" spans="1:21" ht="15.75" x14ac:dyDescent="0.25">
      <c r="A3" s="594" t="s">
        <v>126</v>
      </c>
      <c r="B3" s="594"/>
      <c r="C3" s="594"/>
      <c r="D3" s="594"/>
      <c r="E3" s="594"/>
      <c r="F3" s="594"/>
      <c r="G3" s="594"/>
      <c r="H3" s="594"/>
      <c r="I3" s="594"/>
      <c r="J3" s="594"/>
      <c r="K3" s="594"/>
      <c r="L3" s="594"/>
      <c r="M3" s="594"/>
      <c r="N3" s="594"/>
      <c r="O3" s="594"/>
      <c r="P3" s="594"/>
      <c r="Q3" s="594"/>
      <c r="R3" s="594"/>
      <c r="S3" s="594"/>
      <c r="T3" s="594"/>
      <c r="U3" s="594"/>
    </row>
    <row r="4" spans="1:21" ht="15.75" x14ac:dyDescent="0.25">
      <c r="U4" s="26" t="s">
        <v>56</v>
      </c>
    </row>
    <row r="5" spans="1:21" ht="15.75" x14ac:dyDescent="0.25">
      <c r="A5" s="595" t="s">
        <v>3</v>
      </c>
      <c r="B5" s="595" t="s">
        <v>355</v>
      </c>
      <c r="C5" s="595" t="s">
        <v>663</v>
      </c>
      <c r="D5" s="595"/>
      <c r="E5" s="595"/>
      <c r="F5" s="595"/>
      <c r="G5" s="595" t="s">
        <v>750</v>
      </c>
      <c r="H5" s="595"/>
      <c r="I5" s="595"/>
      <c r="J5" s="595"/>
      <c r="K5" s="595"/>
      <c r="L5" s="595"/>
      <c r="M5" s="595"/>
      <c r="N5" s="595"/>
      <c r="O5" s="595"/>
      <c r="P5" s="595"/>
      <c r="Q5" s="595"/>
      <c r="R5" s="595" t="s">
        <v>374</v>
      </c>
      <c r="S5" s="595"/>
      <c r="T5" s="595"/>
      <c r="U5" s="595"/>
    </row>
    <row r="6" spans="1:21" ht="15.75" x14ac:dyDescent="0.25">
      <c r="A6" s="595"/>
      <c r="B6" s="595"/>
      <c r="C6" s="595" t="s">
        <v>130</v>
      </c>
      <c r="D6" s="595" t="s">
        <v>162</v>
      </c>
      <c r="E6" s="595"/>
      <c r="F6" s="595" t="s">
        <v>150</v>
      </c>
      <c r="G6" s="595" t="s">
        <v>130</v>
      </c>
      <c r="H6" s="595" t="s">
        <v>162</v>
      </c>
      <c r="I6" s="595"/>
      <c r="J6" s="595" t="s">
        <v>851</v>
      </c>
      <c r="K6" s="595"/>
      <c r="L6" s="595"/>
      <c r="M6" s="595"/>
      <c r="N6" s="595"/>
      <c r="O6" s="595"/>
      <c r="P6" s="595"/>
      <c r="Q6" s="595" t="s">
        <v>150</v>
      </c>
      <c r="R6" s="595" t="s">
        <v>130</v>
      </c>
      <c r="S6" s="595" t="s">
        <v>162</v>
      </c>
      <c r="T6" s="595"/>
      <c r="U6" s="595" t="s">
        <v>150</v>
      </c>
    </row>
    <row r="7" spans="1:21" ht="15.75" x14ac:dyDescent="0.25">
      <c r="A7" s="595"/>
      <c r="B7" s="595"/>
      <c r="C7" s="595"/>
      <c r="D7" s="595" t="s">
        <v>695</v>
      </c>
      <c r="E7" s="595" t="s">
        <v>696</v>
      </c>
      <c r="F7" s="595"/>
      <c r="G7" s="595"/>
      <c r="H7" s="595" t="s">
        <v>695</v>
      </c>
      <c r="I7" s="595" t="s">
        <v>696</v>
      </c>
      <c r="J7" s="595" t="s">
        <v>130</v>
      </c>
      <c r="K7" s="595" t="s">
        <v>367</v>
      </c>
      <c r="L7" s="595"/>
      <c r="M7" s="595"/>
      <c r="N7" s="595" t="s">
        <v>696</v>
      </c>
      <c r="O7" s="595"/>
      <c r="P7" s="595"/>
      <c r="Q7" s="595"/>
      <c r="R7" s="595"/>
      <c r="S7" s="595" t="s">
        <v>367</v>
      </c>
      <c r="T7" s="595" t="s">
        <v>96</v>
      </c>
      <c r="U7" s="595"/>
    </row>
    <row r="8" spans="1:21" ht="15.75" x14ac:dyDescent="0.25">
      <c r="A8" s="595"/>
      <c r="B8" s="595"/>
      <c r="C8" s="595"/>
      <c r="D8" s="595"/>
      <c r="E8" s="595"/>
      <c r="F8" s="595"/>
      <c r="G8" s="595"/>
      <c r="H8" s="595"/>
      <c r="I8" s="595"/>
      <c r="J8" s="595"/>
      <c r="K8" s="595" t="s">
        <v>130</v>
      </c>
      <c r="L8" s="595" t="s">
        <v>709</v>
      </c>
      <c r="M8" s="595"/>
      <c r="N8" s="595" t="s">
        <v>130</v>
      </c>
      <c r="O8" s="595" t="s">
        <v>709</v>
      </c>
      <c r="P8" s="595"/>
      <c r="Q8" s="595"/>
      <c r="R8" s="595"/>
      <c r="S8" s="595"/>
      <c r="T8" s="595"/>
      <c r="U8" s="595"/>
    </row>
    <row r="9" spans="1:21" ht="47.25" x14ac:dyDescent="0.25">
      <c r="A9" s="595"/>
      <c r="B9" s="595"/>
      <c r="C9" s="595"/>
      <c r="D9" s="595"/>
      <c r="E9" s="595"/>
      <c r="F9" s="595"/>
      <c r="G9" s="595"/>
      <c r="H9" s="595"/>
      <c r="I9" s="595"/>
      <c r="J9" s="595"/>
      <c r="K9" s="595"/>
      <c r="L9" s="29" t="s">
        <v>135</v>
      </c>
      <c r="M9" s="29" t="s">
        <v>697</v>
      </c>
      <c r="N9" s="595"/>
      <c r="O9" s="29" t="s">
        <v>135</v>
      </c>
      <c r="P9" s="29" t="s">
        <v>697</v>
      </c>
      <c r="Q9" s="595"/>
      <c r="R9" s="595"/>
      <c r="S9" s="595"/>
      <c r="T9" s="595"/>
      <c r="U9" s="595"/>
    </row>
    <row r="10" spans="1:21" ht="15.75" x14ac:dyDescent="0.25">
      <c r="A10" s="29" t="s">
        <v>15</v>
      </c>
      <c r="B10" s="29" t="s">
        <v>16</v>
      </c>
      <c r="C10" s="29">
        <v>1</v>
      </c>
      <c r="D10" s="29">
        <v>2</v>
      </c>
      <c r="E10" s="29">
        <v>3</v>
      </c>
      <c r="F10" s="29">
        <v>4</v>
      </c>
      <c r="G10" s="29">
        <v>5</v>
      </c>
      <c r="H10" s="29">
        <v>6</v>
      </c>
      <c r="I10" s="29">
        <v>7</v>
      </c>
      <c r="J10" s="29">
        <v>8</v>
      </c>
      <c r="K10" s="29">
        <v>9</v>
      </c>
      <c r="L10" s="29">
        <v>10</v>
      </c>
      <c r="M10" s="29">
        <v>11</v>
      </c>
      <c r="N10" s="29">
        <v>12</v>
      </c>
      <c r="O10" s="29">
        <v>13</v>
      </c>
      <c r="P10" s="29">
        <v>14</v>
      </c>
      <c r="Q10" s="29">
        <v>15</v>
      </c>
      <c r="R10" s="29" t="s">
        <v>852</v>
      </c>
      <c r="S10" s="29" t="s">
        <v>853</v>
      </c>
      <c r="T10" s="29" t="s">
        <v>854</v>
      </c>
      <c r="U10" s="29" t="s">
        <v>855</v>
      </c>
    </row>
    <row r="11" spans="1:21" ht="15.75" x14ac:dyDescent="0.25">
      <c r="A11" s="29"/>
      <c r="B11" s="30" t="s">
        <v>133</v>
      </c>
      <c r="C11" s="28"/>
      <c r="D11" s="28"/>
      <c r="E11" s="28"/>
      <c r="F11" s="28"/>
      <c r="G11" s="28"/>
      <c r="H11" s="28"/>
      <c r="I11" s="28"/>
      <c r="J11" s="28"/>
      <c r="K11" s="28"/>
      <c r="L11" s="28"/>
      <c r="M11" s="28"/>
      <c r="N11" s="28"/>
      <c r="O11" s="28"/>
      <c r="P11" s="28"/>
      <c r="Q11" s="28"/>
      <c r="R11" s="28"/>
      <c r="S11" s="28"/>
      <c r="T11" s="28"/>
      <c r="U11" s="28"/>
    </row>
    <row r="12" spans="1:21" ht="15.75" x14ac:dyDescent="0.25">
      <c r="A12" s="29" t="s">
        <v>83</v>
      </c>
      <c r="B12" s="30" t="s">
        <v>706</v>
      </c>
      <c r="C12" s="30"/>
      <c r="D12" s="30"/>
      <c r="E12" s="28"/>
      <c r="F12" s="28"/>
      <c r="G12" s="28"/>
      <c r="H12" s="28"/>
      <c r="I12" s="28"/>
      <c r="J12" s="28"/>
      <c r="K12" s="28"/>
      <c r="L12" s="28"/>
      <c r="M12" s="28"/>
      <c r="N12" s="28"/>
      <c r="O12" s="28"/>
      <c r="P12" s="28"/>
      <c r="Q12" s="28"/>
      <c r="R12" s="28"/>
      <c r="S12" s="28"/>
      <c r="T12" s="28"/>
      <c r="U12" s="28"/>
    </row>
    <row r="13" spans="1:21" ht="15.75" x14ac:dyDescent="0.25">
      <c r="A13" s="28">
        <v>1</v>
      </c>
      <c r="B13" s="31" t="s">
        <v>166</v>
      </c>
      <c r="C13" s="28"/>
      <c r="D13" s="28"/>
      <c r="E13" s="28"/>
      <c r="F13" s="28"/>
      <c r="G13" s="28"/>
      <c r="H13" s="28"/>
      <c r="I13" s="28"/>
      <c r="J13" s="28"/>
      <c r="K13" s="28"/>
      <c r="L13" s="28"/>
      <c r="M13" s="28"/>
      <c r="N13" s="28"/>
      <c r="O13" s="28"/>
      <c r="P13" s="28"/>
      <c r="Q13" s="28"/>
      <c r="R13" s="28"/>
      <c r="S13" s="28"/>
      <c r="T13" s="28"/>
      <c r="U13" s="28"/>
    </row>
    <row r="14" spans="1:21" ht="15.75" x14ac:dyDescent="0.25">
      <c r="A14" s="28">
        <v>2</v>
      </c>
      <c r="B14" s="31" t="s">
        <v>167</v>
      </c>
      <c r="C14" s="28"/>
      <c r="D14" s="28"/>
      <c r="E14" s="28"/>
      <c r="F14" s="28"/>
      <c r="G14" s="28"/>
      <c r="H14" s="28"/>
      <c r="I14" s="28"/>
      <c r="J14" s="28"/>
      <c r="K14" s="28"/>
      <c r="L14" s="28"/>
      <c r="M14" s="28"/>
      <c r="N14" s="28"/>
      <c r="O14" s="28"/>
      <c r="P14" s="28"/>
      <c r="Q14" s="28"/>
      <c r="R14" s="28"/>
      <c r="S14" s="28"/>
      <c r="T14" s="28"/>
      <c r="U14" s="28"/>
    </row>
    <row r="15" spans="1:21" ht="15.75" x14ac:dyDescent="0.25">
      <c r="A15" s="28">
        <v>3</v>
      </c>
      <c r="B15" s="31" t="s">
        <v>51</v>
      </c>
      <c r="C15" s="28"/>
      <c r="D15" s="28"/>
      <c r="E15" s="28"/>
      <c r="F15" s="28"/>
      <c r="G15" s="28"/>
      <c r="H15" s="28"/>
      <c r="I15" s="28"/>
      <c r="J15" s="28"/>
      <c r="K15" s="28"/>
      <c r="L15" s="28"/>
      <c r="M15" s="28"/>
      <c r="N15" s="28"/>
      <c r="O15" s="28"/>
      <c r="P15" s="28"/>
      <c r="Q15" s="28"/>
      <c r="R15" s="28"/>
      <c r="S15" s="28"/>
      <c r="T15" s="28"/>
      <c r="U15" s="28"/>
    </row>
    <row r="16" spans="1:21" ht="15.75" x14ac:dyDescent="0.25">
      <c r="A16" s="29" t="s">
        <v>70</v>
      </c>
      <c r="B16" s="30" t="s">
        <v>132</v>
      </c>
      <c r="C16" s="30"/>
      <c r="D16" s="30"/>
      <c r="E16" s="28"/>
      <c r="F16" s="28"/>
      <c r="G16" s="28"/>
      <c r="H16" s="28"/>
      <c r="I16" s="28"/>
      <c r="J16" s="28"/>
      <c r="K16" s="28"/>
      <c r="L16" s="28"/>
      <c r="M16" s="28"/>
      <c r="N16" s="28"/>
      <c r="O16" s="28"/>
      <c r="P16" s="28"/>
      <c r="Q16" s="28"/>
      <c r="R16" s="28"/>
      <c r="S16" s="28"/>
      <c r="T16" s="28"/>
      <c r="U16" s="28"/>
    </row>
    <row r="17" spans="1:21" ht="15.75" x14ac:dyDescent="0.25">
      <c r="A17" s="28">
        <v>1</v>
      </c>
      <c r="B17" s="31" t="s">
        <v>169</v>
      </c>
      <c r="C17" s="28"/>
      <c r="D17" s="28"/>
      <c r="E17" s="28"/>
      <c r="F17" s="28"/>
      <c r="G17" s="28"/>
      <c r="H17" s="28"/>
      <c r="I17" s="28"/>
      <c r="J17" s="28"/>
      <c r="K17" s="28"/>
      <c r="L17" s="28"/>
      <c r="M17" s="28"/>
      <c r="N17" s="28"/>
      <c r="O17" s="28"/>
      <c r="P17" s="28"/>
      <c r="Q17" s="28"/>
      <c r="R17" s="28"/>
      <c r="S17" s="28"/>
      <c r="T17" s="28"/>
      <c r="U17" s="28"/>
    </row>
    <row r="18" spans="1:21" ht="15.75" x14ac:dyDescent="0.25">
      <c r="A18" s="28">
        <v>2</v>
      </c>
      <c r="B18" s="31" t="s">
        <v>170</v>
      </c>
      <c r="C18" s="28"/>
      <c r="D18" s="28"/>
      <c r="E18" s="28"/>
      <c r="F18" s="28"/>
      <c r="G18" s="28"/>
      <c r="H18" s="28"/>
      <c r="I18" s="28"/>
      <c r="J18" s="28"/>
      <c r="K18" s="28"/>
      <c r="L18" s="28"/>
      <c r="M18" s="28"/>
      <c r="N18" s="28"/>
      <c r="O18" s="28"/>
      <c r="P18" s="28"/>
      <c r="Q18" s="28"/>
      <c r="R18" s="28"/>
      <c r="S18" s="28"/>
      <c r="T18" s="28"/>
      <c r="U18" s="28"/>
    </row>
    <row r="19" spans="1:21" ht="15.75" x14ac:dyDescent="0.25">
      <c r="A19" s="28">
        <v>3</v>
      </c>
      <c r="B19" s="31" t="s">
        <v>609</v>
      </c>
      <c r="C19" s="28"/>
      <c r="D19" s="28"/>
      <c r="E19" s="28"/>
      <c r="F19" s="28"/>
      <c r="G19" s="28"/>
      <c r="H19" s="28"/>
      <c r="I19" s="28"/>
      <c r="J19" s="28"/>
      <c r="K19" s="28"/>
      <c r="L19" s="28"/>
      <c r="M19" s="28"/>
      <c r="N19" s="28"/>
      <c r="O19" s="28"/>
      <c r="P19" s="28"/>
      <c r="Q19" s="28"/>
      <c r="R19" s="28"/>
      <c r="S19" s="28"/>
      <c r="T19" s="28"/>
      <c r="U19" s="28"/>
    </row>
    <row r="20" spans="1:21" ht="15.75" x14ac:dyDescent="0.25">
      <c r="A20" s="28">
        <v>4</v>
      </c>
      <c r="B20" s="31" t="s">
        <v>172</v>
      </c>
      <c r="C20" s="28"/>
      <c r="D20" s="28"/>
      <c r="E20" s="28"/>
      <c r="F20" s="28"/>
      <c r="G20" s="28"/>
      <c r="H20" s="28"/>
      <c r="I20" s="28"/>
      <c r="J20" s="28"/>
      <c r="K20" s="28"/>
      <c r="L20" s="28"/>
      <c r="M20" s="28"/>
      <c r="N20" s="28"/>
      <c r="O20" s="28"/>
      <c r="P20" s="28"/>
      <c r="Q20" s="28"/>
      <c r="R20" s="28"/>
      <c r="S20" s="28"/>
      <c r="T20" s="28"/>
      <c r="U20" s="28"/>
    </row>
    <row r="21" spans="1:21" ht="15.75" x14ac:dyDescent="0.25">
      <c r="A21" s="28">
        <v>5</v>
      </c>
      <c r="B21" s="31" t="s">
        <v>707</v>
      </c>
      <c r="C21" s="28"/>
      <c r="D21" s="28"/>
      <c r="E21" s="28"/>
      <c r="F21" s="28"/>
      <c r="G21" s="28"/>
      <c r="H21" s="28"/>
      <c r="I21" s="28"/>
      <c r="J21" s="28"/>
      <c r="K21" s="28"/>
      <c r="L21" s="28"/>
      <c r="M21" s="28"/>
      <c r="N21" s="28"/>
      <c r="O21" s="28"/>
      <c r="P21" s="28"/>
      <c r="Q21" s="28"/>
      <c r="R21" s="28"/>
      <c r="S21" s="28"/>
      <c r="T21" s="28"/>
      <c r="U21" s="28"/>
    </row>
    <row r="22" spans="1:21" ht="15.75" x14ac:dyDescent="0.25">
      <c r="A22" s="28">
        <v>6</v>
      </c>
      <c r="B22" s="31" t="s">
        <v>174</v>
      </c>
      <c r="C22" s="28"/>
      <c r="D22" s="28"/>
      <c r="E22" s="28"/>
      <c r="F22" s="28"/>
      <c r="G22" s="28"/>
      <c r="H22" s="28"/>
      <c r="I22" s="28"/>
      <c r="J22" s="28"/>
      <c r="K22" s="28"/>
      <c r="L22" s="28"/>
      <c r="M22" s="28"/>
      <c r="N22" s="28"/>
      <c r="O22" s="28"/>
      <c r="P22" s="28"/>
      <c r="Q22" s="28"/>
      <c r="R22" s="28"/>
      <c r="S22" s="28"/>
      <c r="T22" s="28"/>
      <c r="U22" s="28"/>
    </row>
    <row r="23" spans="1:21" ht="15.75" x14ac:dyDescent="0.25">
      <c r="A23" s="28">
        <v>7</v>
      </c>
      <c r="B23" s="31" t="s">
        <v>175</v>
      </c>
      <c r="C23" s="28"/>
      <c r="D23" s="28"/>
      <c r="E23" s="28"/>
      <c r="F23" s="28"/>
      <c r="G23" s="28"/>
      <c r="H23" s="28"/>
      <c r="I23" s="28"/>
      <c r="J23" s="28"/>
      <c r="K23" s="28"/>
      <c r="L23" s="28"/>
      <c r="M23" s="28"/>
      <c r="N23" s="28"/>
      <c r="O23" s="28"/>
      <c r="P23" s="28"/>
      <c r="Q23" s="28"/>
      <c r="R23" s="28"/>
      <c r="S23" s="28"/>
      <c r="T23" s="28"/>
      <c r="U23" s="28"/>
    </row>
    <row r="24" spans="1:21" ht="15.75" x14ac:dyDescent="0.25">
      <c r="A24" s="28">
        <v>8</v>
      </c>
      <c r="B24" s="31" t="s">
        <v>611</v>
      </c>
      <c r="C24" s="28"/>
      <c r="D24" s="28"/>
      <c r="E24" s="28"/>
      <c r="F24" s="28"/>
      <c r="G24" s="28"/>
      <c r="H24" s="28"/>
      <c r="I24" s="28"/>
      <c r="J24" s="28"/>
      <c r="K24" s="28"/>
      <c r="L24" s="28"/>
      <c r="M24" s="28"/>
      <c r="N24" s="28"/>
      <c r="O24" s="28"/>
      <c r="P24" s="28"/>
      <c r="Q24" s="28"/>
      <c r="R24" s="28"/>
      <c r="S24" s="28"/>
      <c r="T24" s="28"/>
      <c r="U24" s="28"/>
    </row>
    <row r="25" spans="1:21" ht="15.75" x14ac:dyDescent="0.25">
      <c r="A25" s="28">
        <v>9</v>
      </c>
      <c r="B25" s="31" t="s">
        <v>201</v>
      </c>
      <c r="C25" s="28"/>
      <c r="D25" s="28"/>
      <c r="E25" s="28"/>
      <c r="F25" s="28"/>
      <c r="G25" s="28"/>
      <c r="H25" s="28"/>
      <c r="I25" s="28"/>
      <c r="J25" s="28"/>
      <c r="K25" s="28"/>
      <c r="L25" s="28"/>
      <c r="M25" s="28"/>
      <c r="N25" s="28"/>
      <c r="O25" s="28"/>
      <c r="P25" s="28"/>
      <c r="Q25" s="28"/>
      <c r="R25" s="28"/>
      <c r="S25" s="28"/>
      <c r="T25" s="28"/>
      <c r="U25" s="28"/>
    </row>
    <row r="26" spans="1:21" ht="44.25" customHeight="1" x14ac:dyDescent="0.25">
      <c r="A26" s="650" t="s">
        <v>708</v>
      </c>
      <c r="B26" s="650"/>
      <c r="C26" s="650"/>
      <c r="D26" s="650"/>
      <c r="E26" s="650"/>
      <c r="F26" s="650"/>
      <c r="G26" s="650"/>
      <c r="H26" s="650"/>
      <c r="I26" s="650"/>
      <c r="J26" s="650"/>
      <c r="K26" s="650"/>
      <c r="L26" s="650"/>
      <c r="M26" s="650"/>
      <c r="N26" s="650"/>
      <c r="O26" s="650"/>
      <c r="P26" s="650"/>
      <c r="Q26" s="650"/>
      <c r="R26" s="650"/>
      <c r="S26" s="650"/>
      <c r="T26" s="650"/>
      <c r="U26" s="650"/>
    </row>
    <row r="27" spans="1:21" ht="15.75" x14ac:dyDescent="0.25">
      <c r="A27" s="49"/>
    </row>
  </sheetData>
  <mergeCells count="31">
    <mergeCell ref="A2:U2"/>
    <mergeCell ref="A3:U3"/>
    <mergeCell ref="A26:U26"/>
    <mergeCell ref="K7:M7"/>
    <mergeCell ref="N7:P7"/>
    <mergeCell ref="S7:S9"/>
    <mergeCell ref="T7:T9"/>
    <mergeCell ref="K8:K9"/>
    <mergeCell ref="L8:M8"/>
    <mergeCell ref="N8:N9"/>
    <mergeCell ref="A5:A9"/>
    <mergeCell ref="B5:B9"/>
    <mergeCell ref="C5:F5"/>
    <mergeCell ref="G5:Q5"/>
    <mergeCell ref="R5:U5"/>
    <mergeCell ref="C6:C9"/>
    <mergeCell ref="D6:E6"/>
    <mergeCell ref="F6:F9"/>
    <mergeCell ref="G6:G9"/>
    <mergeCell ref="H6:I6"/>
    <mergeCell ref="O8:P8"/>
    <mergeCell ref="J6:P6"/>
    <mergeCell ref="Q6:Q9"/>
    <mergeCell ref="R6:R9"/>
    <mergeCell ref="S6:T6"/>
    <mergeCell ref="U6:U9"/>
    <mergeCell ref="D7:D9"/>
    <mergeCell ref="E7:E9"/>
    <mergeCell ref="H7:H9"/>
    <mergeCell ref="I7:I9"/>
    <mergeCell ref="J7:J9"/>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rgb="FF00B0F0"/>
  </sheetPr>
  <dimension ref="A1:AD27"/>
  <sheetViews>
    <sheetView workbookViewId="0">
      <selection activeCell="M17" sqref="M17"/>
    </sheetView>
  </sheetViews>
  <sheetFormatPr defaultRowHeight="15" x14ac:dyDescent="0.25"/>
  <cols>
    <col min="1" max="1" width="6.7109375" customWidth="1"/>
    <col min="2" max="2" width="33.7109375" customWidth="1"/>
  </cols>
  <sheetData>
    <row r="1" spans="1:30" ht="15.75" x14ac:dyDescent="0.25">
      <c r="AD1" s="25" t="s">
        <v>856</v>
      </c>
    </row>
    <row r="2" spans="1:30" ht="15.75" x14ac:dyDescent="0.25">
      <c r="A2" s="594" t="s">
        <v>857</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row>
    <row r="3" spans="1:30" ht="15.75" x14ac:dyDescent="0.25">
      <c r="A3" s="594" t="s">
        <v>126</v>
      </c>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row>
    <row r="4" spans="1:30" ht="15.75" x14ac:dyDescent="0.25">
      <c r="AD4" s="26" t="s">
        <v>56</v>
      </c>
    </row>
    <row r="5" spans="1:30" ht="15.75" x14ac:dyDescent="0.25">
      <c r="A5" s="595" t="s">
        <v>3</v>
      </c>
      <c r="B5" s="595" t="s">
        <v>180</v>
      </c>
      <c r="C5" s="595" t="s">
        <v>181</v>
      </c>
      <c r="D5" s="595" t="s">
        <v>182</v>
      </c>
      <c r="E5" s="595" t="s">
        <v>183</v>
      </c>
      <c r="F5" s="595" t="s">
        <v>184</v>
      </c>
      <c r="G5" s="595"/>
      <c r="H5" s="595"/>
      <c r="I5" s="595"/>
      <c r="J5" s="595"/>
      <c r="K5" s="595" t="s">
        <v>743</v>
      </c>
      <c r="L5" s="595"/>
      <c r="M5" s="595"/>
      <c r="N5" s="595"/>
      <c r="O5" s="595" t="s">
        <v>744</v>
      </c>
      <c r="P5" s="595"/>
      <c r="Q5" s="595"/>
      <c r="R5" s="595"/>
      <c r="S5" s="595" t="s">
        <v>858</v>
      </c>
      <c r="T5" s="595"/>
      <c r="U5" s="595"/>
      <c r="V5" s="595"/>
      <c r="W5" s="595" t="s">
        <v>859</v>
      </c>
      <c r="X5" s="595"/>
      <c r="Y5" s="595"/>
      <c r="Z5" s="595"/>
      <c r="AA5" s="595" t="s">
        <v>374</v>
      </c>
      <c r="AB5" s="595"/>
      <c r="AC5" s="595"/>
      <c r="AD5" s="595"/>
    </row>
    <row r="6" spans="1:30" ht="14.25" customHeight="1" x14ac:dyDescent="0.25">
      <c r="A6" s="595"/>
      <c r="B6" s="595"/>
      <c r="C6" s="595"/>
      <c r="D6" s="595"/>
      <c r="E6" s="595"/>
      <c r="F6" s="595" t="s">
        <v>187</v>
      </c>
      <c r="G6" s="595" t="s">
        <v>745</v>
      </c>
      <c r="H6" s="595"/>
      <c r="I6" s="595"/>
      <c r="J6" s="595"/>
      <c r="K6" s="595"/>
      <c r="L6" s="595"/>
      <c r="M6" s="595"/>
      <c r="N6" s="595"/>
      <c r="O6" s="595"/>
      <c r="P6" s="595"/>
      <c r="Q6" s="595"/>
      <c r="R6" s="595"/>
      <c r="S6" s="595"/>
      <c r="T6" s="595"/>
      <c r="U6" s="595"/>
      <c r="V6" s="595"/>
      <c r="W6" s="595"/>
      <c r="X6" s="595"/>
      <c r="Y6" s="595"/>
      <c r="Z6" s="595"/>
      <c r="AA6" s="595"/>
      <c r="AB6" s="595"/>
      <c r="AC6" s="595"/>
      <c r="AD6" s="595"/>
    </row>
    <row r="7" spans="1:30" ht="21.75" customHeight="1" x14ac:dyDescent="0.25">
      <c r="A7" s="595"/>
      <c r="B7" s="595"/>
      <c r="C7" s="595"/>
      <c r="D7" s="595"/>
      <c r="E7" s="595"/>
      <c r="F7" s="595"/>
      <c r="G7" s="595" t="s">
        <v>189</v>
      </c>
      <c r="H7" s="595" t="s">
        <v>746</v>
      </c>
      <c r="I7" s="595"/>
      <c r="J7" s="595"/>
      <c r="K7" s="595" t="s">
        <v>130</v>
      </c>
      <c r="L7" s="595" t="s">
        <v>746</v>
      </c>
      <c r="M7" s="595"/>
      <c r="N7" s="595"/>
      <c r="O7" s="595" t="s">
        <v>130</v>
      </c>
      <c r="P7" s="595" t="s">
        <v>746</v>
      </c>
      <c r="Q7" s="595"/>
      <c r="R7" s="595"/>
      <c r="S7" s="595" t="s">
        <v>130</v>
      </c>
      <c r="T7" s="595" t="s">
        <v>746</v>
      </c>
      <c r="U7" s="595"/>
      <c r="V7" s="595"/>
      <c r="W7" s="595" t="s">
        <v>130</v>
      </c>
      <c r="X7" s="595" t="s">
        <v>746</v>
      </c>
      <c r="Y7" s="595"/>
      <c r="Z7" s="595"/>
      <c r="AA7" s="595" t="s">
        <v>130</v>
      </c>
      <c r="AB7" s="595" t="s">
        <v>746</v>
      </c>
      <c r="AC7" s="595"/>
      <c r="AD7" s="595"/>
    </row>
    <row r="8" spans="1:30" ht="95.25" customHeight="1" x14ac:dyDescent="0.25">
      <c r="A8" s="595"/>
      <c r="B8" s="595"/>
      <c r="C8" s="595"/>
      <c r="D8" s="595"/>
      <c r="E8" s="595"/>
      <c r="F8" s="595"/>
      <c r="G8" s="595"/>
      <c r="H8" s="29" t="s">
        <v>747</v>
      </c>
      <c r="I8" s="29" t="s">
        <v>217</v>
      </c>
      <c r="J8" s="29" t="s">
        <v>654</v>
      </c>
      <c r="K8" s="595"/>
      <c r="L8" s="29" t="s">
        <v>747</v>
      </c>
      <c r="M8" s="29" t="s">
        <v>217</v>
      </c>
      <c r="N8" s="29" t="s">
        <v>654</v>
      </c>
      <c r="O8" s="595"/>
      <c r="P8" s="29" t="s">
        <v>747</v>
      </c>
      <c r="Q8" s="29" t="s">
        <v>217</v>
      </c>
      <c r="R8" s="29" t="s">
        <v>654</v>
      </c>
      <c r="S8" s="595"/>
      <c r="T8" s="29" t="s">
        <v>747</v>
      </c>
      <c r="U8" s="29" t="s">
        <v>217</v>
      </c>
      <c r="V8" s="29" t="s">
        <v>654</v>
      </c>
      <c r="W8" s="595"/>
      <c r="X8" s="29" t="s">
        <v>747</v>
      </c>
      <c r="Y8" s="29" t="s">
        <v>217</v>
      </c>
      <c r="Z8" s="29" t="s">
        <v>654</v>
      </c>
      <c r="AA8" s="595"/>
      <c r="AB8" s="29" t="s">
        <v>747</v>
      </c>
      <c r="AC8" s="29" t="s">
        <v>217</v>
      </c>
      <c r="AD8" s="29" t="s">
        <v>654</v>
      </c>
    </row>
    <row r="9" spans="1:30" s="39" customFormat="1" ht="12.75" x14ac:dyDescent="0.2">
      <c r="A9" s="38" t="s">
        <v>15</v>
      </c>
      <c r="B9" s="38" t="s">
        <v>16</v>
      </c>
      <c r="C9" s="38">
        <v>1</v>
      </c>
      <c r="D9" s="38">
        <v>2</v>
      </c>
      <c r="E9" s="38">
        <v>3</v>
      </c>
      <c r="F9" s="38">
        <v>4</v>
      </c>
      <c r="G9" s="38">
        <v>5</v>
      </c>
      <c r="H9" s="38">
        <v>6</v>
      </c>
      <c r="I9" s="38">
        <v>7</v>
      </c>
      <c r="J9" s="38">
        <v>8</v>
      </c>
      <c r="K9" s="38">
        <v>9</v>
      </c>
      <c r="L9" s="38">
        <v>10</v>
      </c>
      <c r="M9" s="38">
        <v>11</v>
      </c>
      <c r="N9" s="38">
        <v>12</v>
      </c>
      <c r="O9" s="38">
        <v>13</v>
      </c>
      <c r="P9" s="38">
        <v>14</v>
      </c>
      <c r="Q9" s="38">
        <v>15</v>
      </c>
      <c r="R9" s="38">
        <v>16</v>
      </c>
      <c r="S9" s="38">
        <v>17</v>
      </c>
      <c r="T9" s="38">
        <v>18</v>
      </c>
      <c r="U9" s="38">
        <v>19</v>
      </c>
      <c r="V9" s="38">
        <v>20</v>
      </c>
      <c r="W9" s="38">
        <v>21</v>
      </c>
      <c r="X9" s="38">
        <v>22</v>
      </c>
      <c r="Y9" s="38">
        <v>23</v>
      </c>
      <c r="Z9" s="38">
        <v>24</v>
      </c>
      <c r="AA9" s="38" t="s">
        <v>860</v>
      </c>
      <c r="AB9" s="38" t="s">
        <v>861</v>
      </c>
      <c r="AC9" s="38" t="s">
        <v>862</v>
      </c>
      <c r="AD9" s="38" t="s">
        <v>863</v>
      </c>
    </row>
    <row r="10" spans="1:30" ht="15.75" x14ac:dyDescent="0.25">
      <c r="A10" s="30"/>
      <c r="B10" s="29" t="s">
        <v>130</v>
      </c>
      <c r="C10" s="29"/>
      <c r="D10" s="29"/>
      <c r="E10" s="29"/>
      <c r="F10" s="29"/>
      <c r="G10" s="29"/>
      <c r="H10" s="29"/>
      <c r="I10" s="29"/>
      <c r="J10" s="29"/>
      <c r="K10" s="29"/>
      <c r="L10" s="29"/>
      <c r="M10" s="29"/>
      <c r="N10" s="31"/>
      <c r="O10" s="31"/>
      <c r="P10" s="31"/>
      <c r="Q10" s="31"/>
      <c r="R10" s="31"/>
      <c r="S10" s="31"/>
      <c r="T10" s="31"/>
      <c r="U10" s="31"/>
      <c r="V10" s="31"/>
      <c r="W10" s="31"/>
      <c r="X10" s="31"/>
      <c r="Y10" s="31"/>
      <c r="Z10" s="31"/>
      <c r="AA10" s="31"/>
      <c r="AB10" s="31"/>
      <c r="AC10" s="31"/>
      <c r="AD10" s="31"/>
    </row>
    <row r="11" spans="1:30" ht="31.5" x14ac:dyDescent="0.25">
      <c r="A11" s="29" t="s">
        <v>15</v>
      </c>
      <c r="B11" s="30" t="s">
        <v>191</v>
      </c>
      <c r="C11" s="28"/>
      <c r="D11" s="28"/>
      <c r="E11" s="28"/>
      <c r="F11" s="28"/>
      <c r="G11" s="28"/>
      <c r="H11" s="28"/>
      <c r="I11" s="28"/>
      <c r="J11" s="28"/>
      <c r="K11" s="29"/>
      <c r="L11" s="29"/>
      <c r="M11" s="29"/>
      <c r="N11" s="31"/>
      <c r="O11" s="31"/>
      <c r="P11" s="31"/>
      <c r="Q11" s="31"/>
      <c r="R11" s="31"/>
      <c r="S11" s="31"/>
      <c r="T11" s="31"/>
      <c r="U11" s="31"/>
      <c r="V11" s="31"/>
      <c r="W11" s="31"/>
      <c r="X11" s="31"/>
      <c r="Y11" s="31"/>
      <c r="Z11" s="31"/>
      <c r="AA11" s="31"/>
      <c r="AB11" s="31"/>
      <c r="AC11" s="31"/>
      <c r="AD11" s="31"/>
    </row>
    <row r="12" spans="1:30" ht="31.5" x14ac:dyDescent="0.25">
      <c r="A12" s="29" t="s">
        <v>83</v>
      </c>
      <c r="B12" s="30" t="s">
        <v>192</v>
      </c>
      <c r="C12" s="28"/>
      <c r="D12" s="28"/>
      <c r="E12" s="28"/>
      <c r="F12" s="28"/>
      <c r="G12" s="28"/>
      <c r="H12" s="28"/>
      <c r="I12" s="28"/>
      <c r="J12" s="28"/>
      <c r="K12" s="28"/>
      <c r="L12" s="29"/>
      <c r="M12" s="29"/>
      <c r="N12" s="31"/>
      <c r="O12" s="31"/>
      <c r="P12" s="31"/>
      <c r="Q12" s="31"/>
      <c r="R12" s="31"/>
      <c r="S12" s="31"/>
      <c r="T12" s="31"/>
      <c r="U12" s="31"/>
      <c r="V12" s="31"/>
      <c r="W12" s="31"/>
      <c r="X12" s="31"/>
      <c r="Y12" s="31"/>
      <c r="Z12" s="31"/>
      <c r="AA12" s="31"/>
      <c r="AB12" s="31"/>
      <c r="AC12" s="31"/>
      <c r="AD12" s="31"/>
    </row>
    <row r="13" spans="1:30" ht="15.75" x14ac:dyDescent="0.25">
      <c r="A13" s="29">
        <v>1</v>
      </c>
      <c r="B13" s="30" t="s">
        <v>193</v>
      </c>
      <c r="C13" s="28"/>
      <c r="D13" s="28"/>
      <c r="E13" s="28"/>
      <c r="F13" s="28"/>
      <c r="G13" s="28"/>
      <c r="H13" s="28"/>
      <c r="I13" s="28"/>
      <c r="J13" s="28"/>
      <c r="K13" s="28"/>
      <c r="L13" s="28"/>
      <c r="M13" s="28"/>
      <c r="N13" s="31"/>
      <c r="O13" s="31"/>
      <c r="P13" s="31"/>
      <c r="Q13" s="31"/>
      <c r="R13" s="31"/>
      <c r="S13" s="31"/>
      <c r="T13" s="31"/>
      <c r="U13" s="31"/>
      <c r="V13" s="31"/>
      <c r="W13" s="31"/>
      <c r="X13" s="31"/>
      <c r="Y13" s="31"/>
      <c r="Z13" s="31"/>
      <c r="AA13" s="31"/>
      <c r="AB13" s="31"/>
      <c r="AC13" s="31"/>
      <c r="AD13" s="31"/>
    </row>
    <row r="14" spans="1:30" ht="15.75" x14ac:dyDescent="0.25">
      <c r="A14" s="28" t="s">
        <v>22</v>
      </c>
      <c r="B14" s="31" t="s">
        <v>194</v>
      </c>
      <c r="C14" s="28"/>
      <c r="D14" s="28"/>
      <c r="E14" s="28"/>
      <c r="F14" s="28"/>
      <c r="G14" s="28"/>
      <c r="H14" s="28"/>
      <c r="I14" s="28"/>
      <c r="J14" s="28"/>
      <c r="K14" s="28"/>
      <c r="L14" s="28"/>
      <c r="M14" s="28"/>
      <c r="N14" s="31"/>
      <c r="O14" s="31"/>
      <c r="P14" s="31"/>
      <c r="Q14" s="31"/>
      <c r="R14" s="31"/>
      <c r="S14" s="31"/>
      <c r="T14" s="31"/>
      <c r="U14" s="31"/>
      <c r="V14" s="31"/>
      <c r="W14" s="31"/>
      <c r="X14" s="31"/>
      <c r="Y14" s="31"/>
      <c r="Z14" s="31"/>
      <c r="AA14" s="31"/>
      <c r="AB14" s="31"/>
      <c r="AC14" s="31"/>
      <c r="AD14" s="31"/>
    </row>
    <row r="15" spans="1:30" ht="15.75" x14ac:dyDescent="0.25">
      <c r="A15" s="28" t="s">
        <v>22</v>
      </c>
      <c r="B15" s="31" t="s">
        <v>177</v>
      </c>
      <c r="C15" s="28"/>
      <c r="D15" s="28"/>
      <c r="E15" s="28"/>
      <c r="F15" s="28"/>
      <c r="G15" s="28"/>
      <c r="H15" s="28"/>
      <c r="I15" s="28"/>
      <c r="J15" s="28"/>
      <c r="K15" s="28"/>
      <c r="L15" s="28"/>
      <c r="M15" s="28"/>
      <c r="N15" s="31"/>
      <c r="O15" s="31"/>
      <c r="P15" s="31"/>
      <c r="Q15" s="31"/>
      <c r="R15" s="31"/>
      <c r="S15" s="31"/>
      <c r="T15" s="31"/>
      <c r="U15" s="31"/>
      <c r="V15" s="31"/>
      <c r="W15" s="31"/>
      <c r="X15" s="31"/>
      <c r="Y15" s="31"/>
      <c r="Z15" s="31"/>
      <c r="AA15" s="31"/>
      <c r="AB15" s="31"/>
      <c r="AC15" s="31"/>
      <c r="AD15" s="31"/>
    </row>
    <row r="16" spans="1:30" ht="15.75" x14ac:dyDescent="0.25">
      <c r="A16" s="29">
        <v>2</v>
      </c>
      <c r="B16" s="30" t="s">
        <v>195</v>
      </c>
      <c r="C16" s="28"/>
      <c r="D16" s="28"/>
      <c r="E16" s="28"/>
      <c r="F16" s="28"/>
      <c r="G16" s="28"/>
      <c r="H16" s="28"/>
      <c r="I16" s="28"/>
      <c r="J16" s="28"/>
      <c r="K16" s="28"/>
      <c r="L16" s="28"/>
      <c r="M16" s="28"/>
      <c r="N16" s="31"/>
      <c r="O16" s="31"/>
      <c r="P16" s="31"/>
      <c r="Q16" s="31"/>
      <c r="R16" s="31"/>
      <c r="S16" s="31"/>
      <c r="T16" s="31"/>
      <c r="U16" s="31"/>
      <c r="V16" s="31"/>
      <c r="W16" s="31"/>
      <c r="X16" s="31"/>
      <c r="Y16" s="31"/>
      <c r="Z16" s="31"/>
      <c r="AA16" s="31"/>
      <c r="AB16" s="31"/>
      <c r="AC16" s="31"/>
      <c r="AD16" s="31"/>
    </row>
    <row r="17" spans="1:30" ht="31.5" x14ac:dyDescent="0.25">
      <c r="A17" s="29" t="s">
        <v>144</v>
      </c>
      <c r="B17" s="30" t="s">
        <v>196</v>
      </c>
      <c r="C17" s="28"/>
      <c r="D17" s="28"/>
      <c r="E17" s="28"/>
      <c r="F17" s="28"/>
      <c r="G17" s="28"/>
      <c r="H17" s="28"/>
      <c r="I17" s="28"/>
      <c r="J17" s="28"/>
      <c r="K17" s="28"/>
      <c r="L17" s="28"/>
      <c r="M17" s="28"/>
      <c r="N17" s="31"/>
      <c r="O17" s="31"/>
      <c r="P17" s="31"/>
      <c r="Q17" s="31"/>
      <c r="R17" s="31"/>
      <c r="S17" s="31"/>
      <c r="T17" s="31"/>
      <c r="U17" s="31"/>
      <c r="V17" s="31"/>
      <c r="W17" s="31"/>
      <c r="X17" s="31"/>
      <c r="Y17" s="31"/>
      <c r="Z17" s="31"/>
      <c r="AA17" s="31"/>
      <c r="AB17" s="31"/>
      <c r="AC17" s="31"/>
      <c r="AD17" s="31"/>
    </row>
    <row r="18" spans="1:30" ht="15.75" x14ac:dyDescent="0.25">
      <c r="A18" s="28" t="s">
        <v>22</v>
      </c>
      <c r="B18" s="31" t="s">
        <v>197</v>
      </c>
      <c r="C18" s="28"/>
      <c r="D18" s="28"/>
      <c r="E18" s="28"/>
      <c r="F18" s="28"/>
      <c r="G18" s="28"/>
      <c r="H18" s="28"/>
      <c r="I18" s="28"/>
      <c r="J18" s="28"/>
      <c r="K18" s="28"/>
      <c r="L18" s="28"/>
      <c r="M18" s="28"/>
      <c r="N18" s="31"/>
      <c r="O18" s="31"/>
      <c r="P18" s="31"/>
      <c r="Q18" s="31"/>
      <c r="R18" s="31"/>
      <c r="S18" s="31"/>
      <c r="T18" s="31"/>
      <c r="U18" s="31"/>
      <c r="V18" s="31"/>
      <c r="W18" s="31"/>
      <c r="X18" s="31"/>
      <c r="Y18" s="31"/>
      <c r="Z18" s="31"/>
      <c r="AA18" s="31"/>
      <c r="AB18" s="31"/>
      <c r="AC18" s="31"/>
      <c r="AD18" s="31"/>
    </row>
    <row r="19" spans="1:30" ht="15.75" x14ac:dyDescent="0.25">
      <c r="A19" s="28" t="s">
        <v>22</v>
      </c>
      <c r="B19" s="31" t="s">
        <v>198</v>
      </c>
      <c r="C19" s="28"/>
      <c r="D19" s="28"/>
      <c r="E19" s="28"/>
      <c r="F19" s="28"/>
      <c r="G19" s="28"/>
      <c r="H19" s="28"/>
      <c r="I19" s="28"/>
      <c r="J19" s="28"/>
      <c r="K19" s="28"/>
      <c r="L19" s="28"/>
      <c r="M19" s="28"/>
      <c r="N19" s="31"/>
      <c r="O19" s="31"/>
      <c r="P19" s="31"/>
      <c r="Q19" s="31"/>
      <c r="R19" s="31"/>
      <c r="S19" s="31"/>
      <c r="T19" s="31"/>
      <c r="U19" s="31"/>
      <c r="V19" s="31"/>
      <c r="W19" s="31"/>
      <c r="X19" s="31"/>
      <c r="Y19" s="31"/>
      <c r="Z19" s="31"/>
      <c r="AA19" s="31"/>
      <c r="AB19" s="31"/>
      <c r="AC19" s="31"/>
      <c r="AD19" s="31"/>
    </row>
    <row r="20" spans="1:30" ht="31.5" x14ac:dyDescent="0.25">
      <c r="A20" s="29" t="s">
        <v>146</v>
      </c>
      <c r="B20" s="30" t="s">
        <v>199</v>
      </c>
      <c r="C20" s="28"/>
      <c r="D20" s="28"/>
      <c r="E20" s="28"/>
      <c r="F20" s="28"/>
      <c r="G20" s="28"/>
      <c r="H20" s="28"/>
      <c r="I20" s="28"/>
      <c r="J20" s="28"/>
      <c r="K20" s="28"/>
      <c r="L20" s="28"/>
      <c r="M20" s="28"/>
      <c r="N20" s="31"/>
      <c r="O20" s="31"/>
      <c r="P20" s="31"/>
      <c r="Q20" s="31"/>
      <c r="R20" s="31"/>
      <c r="S20" s="31"/>
      <c r="T20" s="31"/>
      <c r="U20" s="31"/>
      <c r="V20" s="31"/>
      <c r="W20" s="31"/>
      <c r="X20" s="31"/>
      <c r="Y20" s="31"/>
      <c r="Z20" s="31"/>
      <c r="AA20" s="31"/>
      <c r="AB20" s="31"/>
      <c r="AC20" s="31"/>
      <c r="AD20" s="31"/>
    </row>
    <row r="21" spans="1:30" ht="15.75" x14ac:dyDescent="0.25">
      <c r="A21" s="28" t="s">
        <v>22</v>
      </c>
      <c r="B21" s="31" t="s">
        <v>200</v>
      </c>
      <c r="C21" s="28"/>
      <c r="D21" s="28"/>
      <c r="E21" s="28"/>
      <c r="F21" s="28"/>
      <c r="G21" s="28"/>
      <c r="H21" s="28"/>
      <c r="I21" s="28"/>
      <c r="J21" s="28"/>
      <c r="K21" s="28"/>
      <c r="L21" s="28"/>
      <c r="M21" s="28"/>
      <c r="N21" s="31"/>
      <c r="O21" s="31"/>
      <c r="P21" s="31"/>
      <c r="Q21" s="31"/>
      <c r="R21" s="31"/>
      <c r="S21" s="31"/>
      <c r="T21" s="31"/>
      <c r="U21" s="31"/>
      <c r="V21" s="31"/>
      <c r="W21" s="31"/>
      <c r="X21" s="31"/>
      <c r="Y21" s="31"/>
      <c r="Z21" s="31"/>
      <c r="AA21" s="31"/>
      <c r="AB21" s="31"/>
      <c r="AC21" s="31"/>
      <c r="AD21" s="31"/>
    </row>
    <row r="22" spans="1:30" ht="15.75" x14ac:dyDescent="0.25">
      <c r="A22" s="28" t="s">
        <v>22</v>
      </c>
      <c r="B22" s="31" t="s">
        <v>201</v>
      </c>
      <c r="C22" s="28"/>
      <c r="D22" s="28"/>
      <c r="E22" s="28"/>
      <c r="F22" s="28"/>
      <c r="G22" s="28"/>
      <c r="H22" s="28"/>
      <c r="I22" s="28"/>
      <c r="J22" s="28"/>
      <c r="K22" s="28"/>
      <c r="L22" s="28"/>
      <c r="M22" s="28"/>
      <c r="N22" s="31"/>
      <c r="O22" s="31"/>
      <c r="P22" s="31"/>
      <c r="Q22" s="31"/>
      <c r="R22" s="31"/>
      <c r="S22" s="31"/>
      <c r="T22" s="31"/>
      <c r="U22" s="31"/>
      <c r="V22" s="31"/>
      <c r="W22" s="31"/>
      <c r="X22" s="31"/>
      <c r="Y22" s="31"/>
      <c r="Z22" s="31"/>
      <c r="AA22" s="31"/>
      <c r="AB22" s="31"/>
      <c r="AC22" s="31"/>
      <c r="AD22" s="31"/>
    </row>
    <row r="23" spans="1:30" ht="31.5" x14ac:dyDescent="0.25">
      <c r="A23" s="29" t="s">
        <v>70</v>
      </c>
      <c r="B23" s="30" t="s">
        <v>192</v>
      </c>
      <c r="C23" s="28"/>
      <c r="D23" s="28"/>
      <c r="E23" s="28"/>
      <c r="F23" s="28"/>
      <c r="G23" s="28"/>
      <c r="H23" s="28"/>
      <c r="I23" s="28"/>
      <c r="J23" s="28"/>
      <c r="K23" s="28"/>
      <c r="L23" s="28"/>
      <c r="M23" s="28"/>
      <c r="N23" s="31"/>
      <c r="O23" s="31"/>
      <c r="P23" s="31"/>
      <c r="Q23" s="31"/>
      <c r="R23" s="31"/>
      <c r="S23" s="31"/>
      <c r="T23" s="31"/>
      <c r="U23" s="31"/>
      <c r="V23" s="31"/>
      <c r="W23" s="31"/>
      <c r="X23" s="31"/>
      <c r="Y23" s="31"/>
      <c r="Z23" s="31"/>
      <c r="AA23" s="31"/>
      <c r="AB23" s="31"/>
      <c r="AC23" s="31"/>
      <c r="AD23" s="31"/>
    </row>
    <row r="24" spans="1:30" ht="15.75" x14ac:dyDescent="0.25">
      <c r="A24" s="28"/>
      <c r="B24" s="30" t="s">
        <v>202</v>
      </c>
      <c r="C24" s="28"/>
      <c r="D24" s="28"/>
      <c r="E24" s="28"/>
      <c r="F24" s="28"/>
      <c r="G24" s="28"/>
      <c r="H24" s="28"/>
      <c r="I24" s="28"/>
      <c r="J24" s="28"/>
      <c r="K24" s="28"/>
      <c r="L24" s="28"/>
      <c r="M24" s="28"/>
      <c r="N24" s="31"/>
      <c r="O24" s="31"/>
      <c r="P24" s="31"/>
      <c r="Q24" s="31"/>
      <c r="R24" s="31"/>
      <c r="S24" s="31"/>
      <c r="T24" s="31"/>
      <c r="U24" s="31"/>
      <c r="V24" s="31"/>
      <c r="W24" s="31"/>
      <c r="X24" s="31"/>
      <c r="Y24" s="31"/>
      <c r="Z24" s="31"/>
      <c r="AA24" s="31"/>
      <c r="AB24" s="31"/>
      <c r="AC24" s="31"/>
      <c r="AD24" s="31"/>
    </row>
    <row r="25" spans="1:30" ht="31.5" x14ac:dyDescent="0.25">
      <c r="A25" s="29" t="s">
        <v>16</v>
      </c>
      <c r="B25" s="30" t="s">
        <v>203</v>
      </c>
      <c r="C25" s="28"/>
      <c r="D25" s="28"/>
      <c r="E25" s="28"/>
      <c r="F25" s="28"/>
      <c r="G25" s="28"/>
      <c r="H25" s="28"/>
      <c r="I25" s="28"/>
      <c r="J25" s="28"/>
      <c r="K25" s="28"/>
      <c r="L25" s="28"/>
      <c r="M25" s="28"/>
      <c r="N25" s="31"/>
      <c r="O25" s="31"/>
      <c r="P25" s="31"/>
      <c r="Q25" s="31"/>
      <c r="R25" s="31"/>
      <c r="S25" s="31"/>
      <c r="T25" s="31"/>
      <c r="U25" s="31"/>
      <c r="V25" s="31"/>
      <c r="W25" s="31"/>
      <c r="X25" s="31"/>
      <c r="Y25" s="31"/>
      <c r="Z25" s="31"/>
      <c r="AA25" s="31"/>
      <c r="AB25" s="31"/>
      <c r="AC25" s="31"/>
      <c r="AD25" s="31"/>
    </row>
    <row r="26" spans="1:30" ht="15.75" x14ac:dyDescent="0.25">
      <c r="A26" s="28"/>
      <c r="B26" s="30" t="s">
        <v>204</v>
      </c>
      <c r="C26" s="28"/>
      <c r="D26" s="28"/>
      <c r="E26" s="28"/>
      <c r="F26" s="28"/>
      <c r="G26" s="28"/>
      <c r="H26" s="28"/>
      <c r="I26" s="28"/>
      <c r="J26" s="28"/>
      <c r="K26" s="28"/>
      <c r="L26" s="28"/>
      <c r="M26" s="28"/>
      <c r="N26" s="31"/>
      <c r="O26" s="31"/>
      <c r="P26" s="31"/>
      <c r="Q26" s="31"/>
      <c r="R26" s="31"/>
      <c r="S26" s="31"/>
      <c r="T26" s="31"/>
      <c r="U26" s="31"/>
      <c r="V26" s="31"/>
      <c r="W26" s="31"/>
      <c r="X26" s="31"/>
      <c r="Y26" s="31"/>
      <c r="Z26" s="31"/>
      <c r="AA26" s="31"/>
      <c r="AB26" s="31"/>
      <c r="AC26" s="31"/>
      <c r="AD26" s="31"/>
    </row>
    <row r="27" spans="1:30" ht="15.75" x14ac:dyDescent="0.25">
      <c r="A27" s="28" t="s">
        <v>22</v>
      </c>
      <c r="B27" s="31" t="s">
        <v>205</v>
      </c>
      <c r="C27" s="28"/>
      <c r="D27" s="28"/>
      <c r="E27" s="28"/>
      <c r="F27" s="28"/>
      <c r="G27" s="28"/>
      <c r="H27" s="28"/>
      <c r="I27" s="28"/>
      <c r="J27" s="28"/>
      <c r="K27" s="28"/>
      <c r="L27" s="28"/>
      <c r="M27" s="28"/>
      <c r="N27" s="31"/>
      <c r="O27" s="31"/>
      <c r="P27" s="31"/>
      <c r="Q27" s="31"/>
      <c r="R27" s="31"/>
      <c r="S27" s="31"/>
      <c r="T27" s="31"/>
      <c r="U27" s="31"/>
      <c r="V27" s="31"/>
      <c r="W27" s="31"/>
      <c r="X27" s="31"/>
      <c r="Y27" s="31"/>
      <c r="Z27" s="31"/>
      <c r="AA27" s="31"/>
      <c r="AB27" s="31"/>
      <c r="AC27" s="31"/>
      <c r="AD27" s="31"/>
    </row>
  </sheetData>
  <mergeCells count="27">
    <mergeCell ref="A2:AD2"/>
    <mergeCell ref="A3:AD3"/>
    <mergeCell ref="L7:N7"/>
    <mergeCell ref="O7:O8"/>
    <mergeCell ref="P7:R7"/>
    <mergeCell ref="AA5:AD6"/>
    <mergeCell ref="K7:K8"/>
    <mergeCell ref="X7:Z7"/>
    <mergeCell ref="AA7:AA8"/>
    <mergeCell ref="AB7:AD7"/>
    <mergeCell ref="S7:S8"/>
    <mergeCell ref="T7:V7"/>
    <mergeCell ref="W7:W8"/>
    <mergeCell ref="K5:N6"/>
    <mergeCell ref="O5:R6"/>
    <mergeCell ref="S5:V6"/>
    <mergeCell ref="W5:Z6"/>
    <mergeCell ref="F5:J5"/>
    <mergeCell ref="A5:A8"/>
    <mergeCell ref="B5:B8"/>
    <mergeCell ref="C5:C8"/>
    <mergeCell ref="D5:D8"/>
    <mergeCell ref="E5:E8"/>
    <mergeCell ref="F6:F8"/>
    <mergeCell ref="G6:J6"/>
    <mergeCell ref="G7:G8"/>
    <mergeCell ref="H7:J7"/>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00B0F0"/>
  </sheetPr>
  <dimension ref="A1:L23"/>
  <sheetViews>
    <sheetView workbookViewId="0">
      <selection activeCell="M17" sqref="M17"/>
    </sheetView>
  </sheetViews>
  <sheetFormatPr defaultRowHeight="15" x14ac:dyDescent="0.25"/>
  <cols>
    <col min="1" max="1" width="5.7109375" customWidth="1"/>
    <col min="2" max="2" width="17" customWidth="1"/>
    <col min="3" max="12" width="11.7109375" customWidth="1"/>
  </cols>
  <sheetData>
    <row r="1" spans="1:12" ht="15.75" x14ac:dyDescent="0.25">
      <c r="L1" s="25" t="s">
        <v>864</v>
      </c>
    </row>
    <row r="2" spans="1:12" ht="15.75" x14ac:dyDescent="0.25">
      <c r="A2" s="594" t="s">
        <v>865</v>
      </c>
      <c r="B2" s="594"/>
      <c r="C2" s="594"/>
      <c r="D2" s="594"/>
      <c r="E2" s="594"/>
      <c r="F2" s="594"/>
      <c r="G2" s="594"/>
      <c r="H2" s="594"/>
      <c r="I2" s="594"/>
      <c r="J2" s="594"/>
      <c r="K2" s="594"/>
      <c r="L2" s="594"/>
    </row>
    <row r="3" spans="1:12" ht="15.75" x14ac:dyDescent="0.25">
      <c r="A3" s="551" t="s">
        <v>126</v>
      </c>
      <c r="B3" s="551"/>
      <c r="C3" s="551"/>
      <c r="D3" s="551"/>
      <c r="E3" s="551"/>
      <c r="F3" s="551"/>
      <c r="G3" s="551"/>
      <c r="H3" s="551"/>
      <c r="I3" s="551"/>
      <c r="J3" s="551"/>
      <c r="K3" s="551"/>
      <c r="L3" s="551"/>
    </row>
    <row r="4" spans="1:12" ht="15.75" x14ac:dyDescent="0.25">
      <c r="L4" s="26" t="s">
        <v>56</v>
      </c>
    </row>
    <row r="5" spans="1:12" ht="15.75" x14ac:dyDescent="0.25">
      <c r="A5" s="595" t="s">
        <v>3</v>
      </c>
      <c r="B5" s="595" t="s">
        <v>866</v>
      </c>
      <c r="C5" s="595" t="s">
        <v>867</v>
      </c>
      <c r="D5" s="595" t="s">
        <v>618</v>
      </c>
      <c r="E5" s="595"/>
      <c r="F5" s="595"/>
      <c r="G5" s="595"/>
      <c r="H5" s="595" t="s">
        <v>868</v>
      </c>
      <c r="I5" s="595"/>
      <c r="J5" s="595"/>
      <c r="K5" s="595"/>
      <c r="L5" s="595" t="s">
        <v>869</v>
      </c>
    </row>
    <row r="6" spans="1:12" ht="35.25" customHeight="1" x14ac:dyDescent="0.25">
      <c r="A6" s="595"/>
      <c r="B6" s="595"/>
      <c r="C6" s="595"/>
      <c r="D6" s="595" t="s">
        <v>620</v>
      </c>
      <c r="E6" s="595"/>
      <c r="F6" s="595" t="s">
        <v>621</v>
      </c>
      <c r="G6" s="595" t="s">
        <v>622</v>
      </c>
      <c r="H6" s="595" t="s">
        <v>620</v>
      </c>
      <c r="I6" s="595"/>
      <c r="J6" s="595" t="s">
        <v>621</v>
      </c>
      <c r="K6" s="595" t="s">
        <v>622</v>
      </c>
      <c r="L6" s="595"/>
    </row>
    <row r="7" spans="1:12" ht="68.25" customHeight="1" x14ac:dyDescent="0.25">
      <c r="A7" s="595"/>
      <c r="B7" s="595"/>
      <c r="C7" s="595"/>
      <c r="D7" s="29" t="s">
        <v>130</v>
      </c>
      <c r="E7" s="29" t="s">
        <v>623</v>
      </c>
      <c r="F7" s="595"/>
      <c r="G7" s="595"/>
      <c r="H7" s="29" t="s">
        <v>130</v>
      </c>
      <c r="I7" s="29" t="s">
        <v>623</v>
      </c>
      <c r="J7" s="595"/>
      <c r="K7" s="595"/>
      <c r="L7" s="595"/>
    </row>
    <row r="8" spans="1:12" s="39" customFormat="1" ht="12.75" x14ac:dyDescent="0.2">
      <c r="A8" s="38" t="s">
        <v>15</v>
      </c>
      <c r="B8" s="38" t="s">
        <v>16</v>
      </c>
      <c r="C8" s="38">
        <v>1</v>
      </c>
      <c r="D8" s="38">
        <v>2</v>
      </c>
      <c r="E8" s="38">
        <v>3</v>
      </c>
      <c r="F8" s="38">
        <v>4</v>
      </c>
      <c r="G8" s="38" t="s">
        <v>739</v>
      </c>
      <c r="H8" s="38">
        <v>6</v>
      </c>
      <c r="I8" s="38">
        <v>7</v>
      </c>
      <c r="J8" s="38">
        <v>8</v>
      </c>
      <c r="K8" s="38" t="s">
        <v>625</v>
      </c>
      <c r="L8" s="38" t="s">
        <v>870</v>
      </c>
    </row>
    <row r="9" spans="1:12" ht="15.75" x14ac:dyDescent="0.25">
      <c r="A9" s="28">
        <v>1</v>
      </c>
      <c r="B9" s="31" t="s">
        <v>627</v>
      </c>
      <c r="C9" s="31"/>
      <c r="D9" s="31"/>
      <c r="E9" s="31"/>
      <c r="F9" s="31"/>
      <c r="G9" s="31"/>
      <c r="H9" s="31"/>
      <c r="I9" s="31"/>
      <c r="J9" s="31"/>
      <c r="K9" s="31"/>
      <c r="L9" s="31"/>
    </row>
    <row r="10" spans="1:12" ht="15.75" x14ac:dyDescent="0.25">
      <c r="A10" s="28">
        <v>2</v>
      </c>
      <c r="B10" s="31" t="s">
        <v>628</v>
      </c>
      <c r="C10" s="31"/>
      <c r="D10" s="31"/>
      <c r="E10" s="31"/>
      <c r="F10" s="31"/>
      <c r="G10" s="31"/>
      <c r="H10" s="31"/>
      <c r="I10" s="31"/>
      <c r="J10" s="31"/>
      <c r="K10" s="31"/>
      <c r="L10" s="31"/>
    </row>
    <row r="11" spans="1:12" ht="15.75" x14ac:dyDescent="0.25">
      <c r="A11" s="28">
        <v>3</v>
      </c>
      <c r="B11" s="31" t="s">
        <v>629</v>
      </c>
      <c r="C11" s="31"/>
      <c r="D11" s="31"/>
      <c r="E11" s="31"/>
      <c r="F11" s="31"/>
      <c r="G11" s="31"/>
      <c r="H11" s="31"/>
      <c r="I11" s="31"/>
      <c r="J11" s="31"/>
      <c r="K11" s="31"/>
      <c r="L11" s="31"/>
    </row>
    <row r="12" spans="1:12" ht="15.75" x14ac:dyDescent="0.25">
      <c r="A12" s="28">
        <v>4</v>
      </c>
      <c r="B12" s="31" t="s">
        <v>532</v>
      </c>
      <c r="C12" s="31"/>
      <c r="D12" s="31"/>
      <c r="E12" s="31"/>
      <c r="F12" s="31"/>
      <c r="G12" s="31"/>
      <c r="H12" s="31"/>
      <c r="I12" s="31"/>
      <c r="J12" s="31"/>
      <c r="K12" s="31"/>
      <c r="L12" s="31"/>
    </row>
    <row r="13" spans="1:12" ht="15.75" x14ac:dyDescent="0.25">
      <c r="A13" s="28">
        <v>5</v>
      </c>
      <c r="B13" s="37"/>
      <c r="C13" s="31"/>
      <c r="D13" s="31"/>
      <c r="E13" s="31"/>
      <c r="F13" s="31"/>
      <c r="G13" s="31"/>
      <c r="H13" s="31"/>
      <c r="I13" s="31"/>
      <c r="J13" s="31"/>
      <c r="K13" s="31"/>
      <c r="L13" s="31"/>
    </row>
    <row r="14" spans="1:12" ht="15.75" x14ac:dyDescent="0.25">
      <c r="A14" s="28">
        <v>6</v>
      </c>
      <c r="B14" s="37"/>
      <c r="C14" s="31"/>
      <c r="D14" s="31"/>
      <c r="E14" s="31"/>
      <c r="F14" s="31"/>
      <c r="G14" s="31"/>
      <c r="H14" s="31"/>
      <c r="I14" s="31"/>
      <c r="J14" s="31"/>
      <c r="K14" s="31"/>
      <c r="L14" s="31"/>
    </row>
    <row r="15" spans="1:12" ht="15.75" x14ac:dyDescent="0.25">
      <c r="A15" s="28">
        <v>7</v>
      </c>
      <c r="B15" s="37"/>
      <c r="C15" s="31"/>
      <c r="D15" s="31"/>
      <c r="E15" s="31"/>
      <c r="F15" s="31"/>
      <c r="G15" s="31"/>
      <c r="H15" s="31"/>
      <c r="I15" s="31"/>
      <c r="J15" s="31"/>
      <c r="K15" s="31"/>
      <c r="L15" s="31"/>
    </row>
    <row r="16" spans="1:12" ht="15.75" x14ac:dyDescent="0.25">
      <c r="A16" s="28">
        <v>8</v>
      </c>
      <c r="B16" s="37"/>
      <c r="C16" s="31"/>
      <c r="D16" s="31"/>
      <c r="E16" s="31"/>
      <c r="F16" s="31"/>
      <c r="G16" s="31"/>
      <c r="H16" s="31"/>
      <c r="I16" s="31"/>
      <c r="J16" s="31"/>
      <c r="K16" s="31"/>
      <c r="L16" s="31"/>
    </row>
    <row r="17" spans="1:12" ht="15.75" x14ac:dyDescent="0.25">
      <c r="A17" s="28">
        <v>9</v>
      </c>
      <c r="B17" s="37"/>
      <c r="C17" s="31"/>
      <c r="D17" s="31"/>
      <c r="E17" s="31"/>
      <c r="F17" s="31"/>
      <c r="G17" s="31"/>
      <c r="H17" s="31"/>
      <c r="I17" s="31"/>
      <c r="J17" s="31"/>
      <c r="K17" s="31"/>
      <c r="L17" s="31"/>
    </row>
    <row r="18" spans="1:12" ht="15.75" x14ac:dyDescent="0.25">
      <c r="A18" s="28">
        <v>10</v>
      </c>
      <c r="B18" s="37"/>
      <c r="C18" s="31"/>
      <c r="D18" s="31"/>
      <c r="E18" s="31"/>
      <c r="F18" s="31"/>
      <c r="G18" s="31"/>
      <c r="H18" s="31"/>
      <c r="I18" s="31"/>
      <c r="J18" s="31"/>
      <c r="K18" s="31"/>
      <c r="L18" s="31"/>
    </row>
    <row r="19" spans="1:12" ht="15.75" x14ac:dyDescent="0.25">
      <c r="A19" s="28">
        <v>11</v>
      </c>
      <c r="B19" s="37"/>
      <c r="C19" s="31"/>
      <c r="D19" s="31"/>
      <c r="E19" s="31"/>
      <c r="F19" s="31"/>
      <c r="G19" s="31"/>
      <c r="H19" s="31"/>
      <c r="I19" s="31"/>
      <c r="J19" s="31"/>
      <c r="K19" s="31"/>
      <c r="L19" s="31"/>
    </row>
    <row r="20" spans="1:12" ht="15.75" x14ac:dyDescent="0.25">
      <c r="A20" s="28">
        <v>12</v>
      </c>
      <c r="B20" s="37"/>
      <c r="C20" s="31"/>
      <c r="D20" s="31"/>
      <c r="E20" s="31"/>
      <c r="F20" s="31"/>
      <c r="G20" s="31"/>
      <c r="H20" s="31"/>
      <c r="I20" s="31"/>
      <c r="J20" s="31"/>
      <c r="K20" s="31"/>
      <c r="L20" s="31"/>
    </row>
    <row r="21" spans="1:12" ht="15.75" x14ac:dyDescent="0.25">
      <c r="A21" s="28">
        <v>13</v>
      </c>
      <c r="B21" s="37"/>
      <c r="C21" s="31"/>
      <c r="D21" s="31"/>
      <c r="E21" s="31"/>
      <c r="F21" s="31"/>
      <c r="G21" s="31"/>
      <c r="H21" s="31"/>
      <c r="I21" s="31"/>
      <c r="J21" s="31"/>
      <c r="K21" s="31"/>
      <c r="L21" s="31"/>
    </row>
    <row r="22" spans="1:12" ht="15.75" x14ac:dyDescent="0.25">
      <c r="A22" s="28">
        <v>14</v>
      </c>
      <c r="B22" s="37"/>
      <c r="C22" s="31"/>
      <c r="D22" s="31"/>
      <c r="E22" s="31"/>
      <c r="F22" s="31"/>
      <c r="G22" s="31"/>
      <c r="H22" s="31"/>
      <c r="I22" s="31"/>
      <c r="J22" s="31"/>
      <c r="K22" s="31"/>
      <c r="L22" s="31"/>
    </row>
    <row r="23" spans="1:12" ht="15.75" x14ac:dyDescent="0.25">
      <c r="A23" s="28">
        <v>15</v>
      </c>
      <c r="B23" s="37"/>
      <c r="C23" s="31"/>
      <c r="D23" s="31"/>
      <c r="E23" s="31"/>
      <c r="F23" s="31"/>
      <c r="G23" s="31"/>
      <c r="H23" s="31"/>
      <c r="I23" s="31"/>
      <c r="J23" s="31"/>
      <c r="K23" s="31"/>
      <c r="L23" s="31"/>
    </row>
  </sheetData>
  <mergeCells count="14">
    <mergeCell ref="D6:E6"/>
    <mergeCell ref="F6:F7"/>
    <mergeCell ref="G6:G7"/>
    <mergeCell ref="H6:I6"/>
    <mergeCell ref="A2:L2"/>
    <mergeCell ref="A3:L3"/>
    <mergeCell ref="J6:J7"/>
    <mergeCell ref="K6:K7"/>
    <mergeCell ref="A5:A7"/>
    <mergeCell ref="B5:B7"/>
    <mergeCell ref="C5:C7"/>
    <mergeCell ref="D5:G5"/>
    <mergeCell ref="H5:K5"/>
    <mergeCell ref="L5:L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39997558519241921"/>
  </sheetPr>
  <dimension ref="A1:U30"/>
  <sheetViews>
    <sheetView workbookViewId="0">
      <selection activeCell="E33" sqref="E33"/>
    </sheetView>
  </sheetViews>
  <sheetFormatPr defaultColWidth="9.28515625" defaultRowHeight="15" x14ac:dyDescent="0.25"/>
  <cols>
    <col min="1" max="1" width="5.7109375" style="1" customWidth="1"/>
    <col min="2" max="2" width="45" style="1" customWidth="1"/>
    <col min="3" max="16384" width="9.28515625" style="1"/>
  </cols>
  <sheetData>
    <row r="1" spans="1:21" x14ac:dyDescent="0.25">
      <c r="A1" s="559" t="s">
        <v>206</v>
      </c>
      <c r="B1" s="559"/>
      <c r="C1" s="559"/>
      <c r="D1" s="559"/>
      <c r="E1" s="559"/>
      <c r="F1" s="559"/>
      <c r="G1" s="559"/>
      <c r="H1" s="559"/>
      <c r="I1" s="559"/>
      <c r="J1" s="559"/>
      <c r="K1" s="559"/>
      <c r="L1" s="559"/>
      <c r="M1" s="559"/>
      <c r="N1" s="559"/>
      <c r="O1" s="559"/>
      <c r="P1" s="559"/>
      <c r="Q1" s="559"/>
      <c r="R1" s="559"/>
      <c r="S1" s="559"/>
      <c r="T1" s="559"/>
      <c r="U1" s="559"/>
    </row>
    <row r="2" spans="1:21" ht="53.25" customHeight="1" x14ac:dyDescent="0.25">
      <c r="A2" s="554" t="s">
        <v>207</v>
      </c>
      <c r="B2" s="554"/>
      <c r="C2" s="554"/>
      <c r="D2" s="554"/>
      <c r="E2" s="554"/>
      <c r="F2" s="554"/>
      <c r="G2" s="554"/>
      <c r="H2" s="554"/>
      <c r="I2" s="554"/>
      <c r="J2" s="554"/>
      <c r="K2" s="554"/>
      <c r="L2" s="554"/>
      <c r="M2" s="554"/>
      <c r="N2" s="554"/>
      <c r="O2" s="554"/>
      <c r="P2" s="554"/>
      <c r="Q2" s="554"/>
      <c r="R2" s="554"/>
      <c r="S2" s="554"/>
      <c r="T2" s="554"/>
      <c r="U2" s="554"/>
    </row>
    <row r="3" spans="1:21" x14ac:dyDescent="0.25">
      <c r="A3" s="560" t="s">
        <v>126</v>
      </c>
      <c r="B3" s="560"/>
      <c r="C3" s="560"/>
      <c r="D3" s="560"/>
      <c r="E3" s="560"/>
      <c r="F3" s="560"/>
      <c r="G3" s="560"/>
      <c r="H3" s="560"/>
      <c r="I3" s="560"/>
      <c r="J3" s="560"/>
      <c r="K3" s="560"/>
      <c r="L3" s="560"/>
      <c r="M3" s="560"/>
      <c r="N3" s="560"/>
      <c r="O3" s="560"/>
      <c r="P3" s="560"/>
      <c r="Q3" s="560"/>
      <c r="R3" s="560"/>
      <c r="S3" s="560"/>
      <c r="T3" s="560"/>
      <c r="U3" s="560"/>
    </row>
    <row r="4" spans="1:21" x14ac:dyDescent="0.25">
      <c r="S4" s="561" t="s">
        <v>56</v>
      </c>
      <c r="T4" s="561"/>
      <c r="U4" s="561"/>
    </row>
    <row r="5" spans="1:21" x14ac:dyDescent="0.25">
      <c r="A5" s="569" t="s">
        <v>3</v>
      </c>
      <c r="B5" s="569" t="s">
        <v>180</v>
      </c>
      <c r="C5" s="569" t="s">
        <v>181</v>
      </c>
      <c r="D5" s="569" t="s">
        <v>182</v>
      </c>
      <c r="E5" s="569" t="s">
        <v>183</v>
      </c>
      <c r="F5" s="569" t="s">
        <v>184</v>
      </c>
      <c r="G5" s="569"/>
      <c r="H5" s="569"/>
      <c r="I5" s="569"/>
      <c r="J5" s="569"/>
      <c r="K5" s="569"/>
      <c r="L5" s="569"/>
      <c r="M5" s="569" t="s">
        <v>208</v>
      </c>
      <c r="N5" s="569"/>
      <c r="O5" s="569"/>
      <c r="P5" s="569"/>
      <c r="Q5" s="569" t="s">
        <v>209</v>
      </c>
      <c r="R5" s="569"/>
      <c r="S5" s="569"/>
      <c r="T5" s="569"/>
      <c r="U5" s="569" t="s">
        <v>129</v>
      </c>
    </row>
    <row r="6" spans="1:21" x14ac:dyDescent="0.25">
      <c r="A6" s="569"/>
      <c r="B6" s="569"/>
      <c r="C6" s="569"/>
      <c r="D6" s="569"/>
      <c r="E6" s="569"/>
      <c r="F6" s="569" t="s">
        <v>210</v>
      </c>
      <c r="G6" s="569" t="s">
        <v>188</v>
      </c>
      <c r="H6" s="569"/>
      <c r="I6" s="569"/>
      <c r="J6" s="569"/>
      <c r="K6" s="569"/>
      <c r="L6" s="569"/>
      <c r="M6" s="569" t="s">
        <v>189</v>
      </c>
      <c r="N6" s="569" t="s">
        <v>162</v>
      </c>
      <c r="O6" s="569"/>
      <c r="P6" s="569"/>
      <c r="Q6" s="569" t="s">
        <v>189</v>
      </c>
      <c r="R6" s="569" t="s">
        <v>162</v>
      </c>
      <c r="S6" s="569"/>
      <c r="T6" s="569"/>
      <c r="U6" s="569"/>
    </row>
    <row r="7" spans="1:21" x14ac:dyDescent="0.25">
      <c r="A7" s="569"/>
      <c r="B7" s="569"/>
      <c r="C7" s="569"/>
      <c r="D7" s="569"/>
      <c r="E7" s="569"/>
      <c r="F7" s="569"/>
      <c r="G7" s="569" t="s">
        <v>189</v>
      </c>
      <c r="H7" s="569" t="s">
        <v>188</v>
      </c>
      <c r="I7" s="569"/>
      <c r="J7" s="569"/>
      <c r="K7" s="569"/>
      <c r="L7" s="569"/>
      <c r="M7" s="569"/>
      <c r="N7" s="569" t="s">
        <v>211</v>
      </c>
      <c r="O7" s="569"/>
      <c r="P7" s="569" t="s">
        <v>212</v>
      </c>
      <c r="Q7" s="569"/>
      <c r="R7" s="569" t="s">
        <v>211</v>
      </c>
      <c r="S7" s="569"/>
      <c r="T7" s="569" t="s">
        <v>212</v>
      </c>
      <c r="U7" s="569"/>
    </row>
    <row r="8" spans="1:21" x14ac:dyDescent="0.25">
      <c r="A8" s="569"/>
      <c r="B8" s="569"/>
      <c r="C8" s="569"/>
      <c r="D8" s="569"/>
      <c r="E8" s="569"/>
      <c r="F8" s="569"/>
      <c r="G8" s="569"/>
      <c r="H8" s="569" t="s">
        <v>211</v>
      </c>
      <c r="I8" s="569"/>
      <c r="J8" s="569"/>
      <c r="K8" s="569" t="s">
        <v>213</v>
      </c>
      <c r="L8" s="569"/>
      <c r="M8" s="569"/>
      <c r="N8" s="569" t="s">
        <v>130</v>
      </c>
      <c r="O8" s="569" t="s">
        <v>214</v>
      </c>
      <c r="P8" s="569"/>
      <c r="Q8" s="569"/>
      <c r="R8" s="569" t="s">
        <v>130</v>
      </c>
      <c r="S8" s="569" t="s">
        <v>214</v>
      </c>
      <c r="T8" s="569"/>
      <c r="U8" s="569"/>
    </row>
    <row r="9" spans="1:21" x14ac:dyDescent="0.25">
      <c r="A9" s="569"/>
      <c r="B9" s="569"/>
      <c r="C9" s="569"/>
      <c r="D9" s="569"/>
      <c r="E9" s="569"/>
      <c r="F9" s="569"/>
      <c r="G9" s="569"/>
      <c r="H9" s="569" t="s">
        <v>130</v>
      </c>
      <c r="I9" s="569" t="s">
        <v>162</v>
      </c>
      <c r="J9" s="569"/>
      <c r="K9" s="569" t="s">
        <v>215</v>
      </c>
      <c r="L9" s="569" t="s">
        <v>216</v>
      </c>
      <c r="M9" s="569"/>
      <c r="N9" s="569"/>
      <c r="O9" s="569"/>
      <c r="P9" s="569"/>
      <c r="Q9" s="569"/>
      <c r="R9" s="569"/>
      <c r="S9" s="569"/>
      <c r="T9" s="569"/>
      <c r="U9" s="569"/>
    </row>
    <row r="10" spans="1:21" ht="57" x14ac:dyDescent="0.25">
      <c r="A10" s="569"/>
      <c r="B10" s="569"/>
      <c r="C10" s="569"/>
      <c r="D10" s="569"/>
      <c r="E10" s="569"/>
      <c r="F10" s="569"/>
      <c r="G10" s="569"/>
      <c r="H10" s="569"/>
      <c r="I10" s="17" t="s">
        <v>217</v>
      </c>
      <c r="J10" s="17" t="s">
        <v>218</v>
      </c>
      <c r="K10" s="569"/>
      <c r="L10" s="569"/>
      <c r="M10" s="569"/>
      <c r="N10" s="569"/>
      <c r="O10" s="569"/>
      <c r="P10" s="569"/>
      <c r="Q10" s="569"/>
      <c r="R10" s="569"/>
      <c r="S10" s="569"/>
      <c r="T10" s="569"/>
      <c r="U10" s="569"/>
    </row>
    <row r="11" spans="1:21" x14ac:dyDescent="0.25">
      <c r="A11" s="17" t="s">
        <v>15</v>
      </c>
      <c r="B11" s="17" t="s">
        <v>16</v>
      </c>
      <c r="C11" s="17">
        <v>1</v>
      </c>
      <c r="D11" s="17">
        <v>2</v>
      </c>
      <c r="E11" s="17">
        <v>3</v>
      </c>
      <c r="F11" s="17">
        <v>4</v>
      </c>
      <c r="G11" s="17">
        <v>5</v>
      </c>
      <c r="H11" s="17">
        <v>6</v>
      </c>
      <c r="I11" s="17">
        <v>7</v>
      </c>
      <c r="J11" s="17">
        <v>8</v>
      </c>
      <c r="K11" s="17">
        <v>9</v>
      </c>
      <c r="L11" s="17">
        <v>10</v>
      </c>
      <c r="M11" s="17">
        <v>11</v>
      </c>
      <c r="N11" s="17">
        <v>12</v>
      </c>
      <c r="O11" s="17">
        <v>13</v>
      </c>
      <c r="P11" s="17">
        <v>14</v>
      </c>
      <c r="Q11" s="17">
        <v>15</v>
      </c>
      <c r="R11" s="17">
        <v>16</v>
      </c>
      <c r="S11" s="17">
        <v>17</v>
      </c>
      <c r="T11" s="17">
        <v>18</v>
      </c>
      <c r="U11" s="17">
        <v>19</v>
      </c>
    </row>
    <row r="12" spans="1:21" x14ac:dyDescent="0.25">
      <c r="A12" s="17"/>
      <c r="B12" s="17" t="s">
        <v>130</v>
      </c>
      <c r="C12" s="17"/>
      <c r="D12" s="17"/>
      <c r="E12" s="17"/>
      <c r="F12" s="17"/>
      <c r="G12" s="18"/>
      <c r="H12" s="18"/>
      <c r="I12" s="18"/>
      <c r="J12" s="18"/>
      <c r="K12" s="18"/>
      <c r="L12" s="18"/>
      <c r="M12" s="18"/>
      <c r="N12" s="18"/>
      <c r="O12" s="18"/>
      <c r="P12" s="18"/>
      <c r="Q12" s="18"/>
      <c r="R12" s="18"/>
      <c r="S12" s="18"/>
      <c r="T12" s="18"/>
      <c r="U12" s="18"/>
    </row>
    <row r="13" spans="1:21" x14ac:dyDescent="0.25">
      <c r="A13" s="17" t="s">
        <v>15</v>
      </c>
      <c r="B13" s="570" t="s">
        <v>219</v>
      </c>
      <c r="C13" s="570"/>
      <c r="D13" s="570"/>
      <c r="E13" s="570"/>
      <c r="F13" s="570"/>
      <c r="G13" s="18"/>
      <c r="H13" s="18"/>
      <c r="I13" s="18"/>
      <c r="J13" s="18"/>
      <c r="K13" s="18"/>
      <c r="L13" s="18"/>
      <c r="M13" s="18"/>
      <c r="N13" s="18"/>
      <c r="O13" s="18"/>
      <c r="P13" s="18"/>
      <c r="Q13" s="18"/>
      <c r="R13" s="18"/>
      <c r="S13" s="18"/>
      <c r="T13" s="18"/>
      <c r="U13" s="18"/>
    </row>
    <row r="14" spans="1:21" x14ac:dyDescent="0.25">
      <c r="A14" s="17" t="s">
        <v>83</v>
      </c>
      <c r="B14" s="570" t="s">
        <v>220</v>
      </c>
      <c r="C14" s="570"/>
      <c r="D14" s="570"/>
      <c r="E14" s="570"/>
      <c r="F14" s="18"/>
      <c r="G14" s="18"/>
      <c r="H14" s="18"/>
      <c r="I14" s="18"/>
      <c r="J14" s="18"/>
      <c r="K14" s="18"/>
      <c r="L14" s="18"/>
      <c r="M14" s="18"/>
      <c r="N14" s="18"/>
      <c r="O14" s="18"/>
      <c r="P14" s="18"/>
      <c r="Q14" s="18"/>
      <c r="R14" s="18"/>
      <c r="S14" s="18"/>
      <c r="T14" s="18"/>
      <c r="U14" s="18"/>
    </row>
    <row r="15" spans="1:21" x14ac:dyDescent="0.25">
      <c r="A15" s="17">
        <v>1</v>
      </c>
      <c r="B15" s="19" t="s">
        <v>193</v>
      </c>
      <c r="C15" s="18"/>
      <c r="D15" s="18"/>
      <c r="E15" s="18"/>
      <c r="F15" s="18"/>
      <c r="G15" s="18"/>
      <c r="H15" s="18"/>
      <c r="I15" s="18"/>
      <c r="J15" s="18"/>
      <c r="K15" s="18"/>
      <c r="L15" s="18"/>
      <c r="M15" s="18"/>
      <c r="N15" s="18"/>
      <c r="O15" s="18"/>
      <c r="P15" s="18"/>
      <c r="Q15" s="18"/>
      <c r="R15" s="18"/>
      <c r="S15" s="18"/>
      <c r="T15" s="18"/>
      <c r="U15" s="18"/>
    </row>
    <row r="16" spans="1:21" x14ac:dyDescent="0.25">
      <c r="A16" s="18" t="s">
        <v>22</v>
      </c>
      <c r="B16" s="20" t="s">
        <v>221</v>
      </c>
      <c r="C16" s="18"/>
      <c r="D16" s="18"/>
      <c r="E16" s="18"/>
      <c r="F16" s="18"/>
      <c r="G16" s="18"/>
      <c r="H16" s="18"/>
      <c r="I16" s="18"/>
      <c r="J16" s="18"/>
      <c r="K16" s="18"/>
      <c r="L16" s="18"/>
      <c r="M16" s="18"/>
      <c r="N16" s="18"/>
      <c r="O16" s="18"/>
      <c r="P16" s="18"/>
      <c r="Q16" s="18"/>
      <c r="R16" s="18"/>
      <c r="S16" s="18"/>
      <c r="T16" s="18"/>
      <c r="U16" s="18"/>
    </row>
    <row r="17" spans="1:21" x14ac:dyDescent="0.25">
      <c r="A17" s="18" t="s">
        <v>22</v>
      </c>
      <c r="B17" s="20" t="s">
        <v>201</v>
      </c>
      <c r="C17" s="18"/>
      <c r="D17" s="18"/>
      <c r="E17" s="18"/>
      <c r="F17" s="18"/>
      <c r="G17" s="18"/>
      <c r="H17" s="18"/>
      <c r="I17" s="18"/>
      <c r="J17" s="18"/>
      <c r="K17" s="18"/>
      <c r="L17" s="18"/>
      <c r="M17" s="18"/>
      <c r="N17" s="18"/>
      <c r="O17" s="18"/>
      <c r="P17" s="18"/>
      <c r="Q17" s="18"/>
      <c r="R17" s="18"/>
      <c r="S17" s="18"/>
      <c r="T17" s="18"/>
      <c r="U17" s="18"/>
    </row>
    <row r="18" spans="1:21" x14ac:dyDescent="0.25">
      <c r="A18" s="17">
        <v>2</v>
      </c>
      <c r="B18" s="19" t="s">
        <v>195</v>
      </c>
      <c r="C18" s="18"/>
      <c r="D18" s="18"/>
      <c r="E18" s="18"/>
      <c r="F18" s="18"/>
      <c r="G18" s="18"/>
      <c r="H18" s="18"/>
      <c r="I18" s="18"/>
      <c r="J18" s="18"/>
      <c r="K18" s="18"/>
      <c r="L18" s="18"/>
      <c r="M18" s="18"/>
      <c r="N18" s="18"/>
      <c r="O18" s="18"/>
      <c r="P18" s="18"/>
      <c r="Q18" s="18"/>
      <c r="R18" s="18"/>
      <c r="S18" s="18"/>
      <c r="T18" s="18"/>
      <c r="U18" s="18"/>
    </row>
    <row r="19" spans="1:21" x14ac:dyDescent="0.25">
      <c r="A19" s="17" t="s">
        <v>144</v>
      </c>
      <c r="B19" s="570" t="s">
        <v>222</v>
      </c>
      <c r="C19" s="570"/>
      <c r="D19" s="570"/>
      <c r="E19" s="570"/>
      <c r="F19" s="570"/>
      <c r="G19" s="570"/>
      <c r="H19" s="570"/>
      <c r="I19" s="18"/>
      <c r="J19" s="18"/>
      <c r="K19" s="18"/>
      <c r="L19" s="18"/>
      <c r="M19" s="18"/>
      <c r="N19" s="18"/>
      <c r="O19" s="18"/>
      <c r="P19" s="18"/>
      <c r="Q19" s="18"/>
      <c r="R19" s="18"/>
      <c r="S19" s="18"/>
      <c r="T19" s="18"/>
      <c r="U19" s="18"/>
    </row>
    <row r="20" spans="1:21" x14ac:dyDescent="0.25">
      <c r="A20" s="18" t="s">
        <v>22</v>
      </c>
      <c r="B20" s="20" t="s">
        <v>197</v>
      </c>
      <c r="C20" s="18"/>
      <c r="D20" s="18"/>
      <c r="E20" s="18"/>
      <c r="F20" s="18"/>
      <c r="G20" s="18"/>
      <c r="H20" s="18"/>
      <c r="I20" s="18"/>
      <c r="J20" s="18"/>
      <c r="K20" s="18"/>
      <c r="L20" s="18"/>
      <c r="M20" s="18"/>
      <c r="N20" s="18"/>
      <c r="O20" s="18"/>
      <c r="P20" s="18"/>
      <c r="Q20" s="18"/>
      <c r="R20" s="18"/>
      <c r="S20" s="18"/>
      <c r="T20" s="18"/>
      <c r="U20" s="18"/>
    </row>
    <row r="21" spans="1:21" x14ac:dyDescent="0.25">
      <c r="A21" s="18" t="s">
        <v>22</v>
      </c>
      <c r="B21" s="20" t="s">
        <v>173</v>
      </c>
      <c r="C21" s="18"/>
      <c r="D21" s="18"/>
      <c r="E21" s="18"/>
      <c r="F21" s="18"/>
      <c r="G21" s="18"/>
      <c r="H21" s="18"/>
      <c r="I21" s="18"/>
      <c r="J21" s="18"/>
      <c r="K21" s="18"/>
      <c r="L21" s="18"/>
      <c r="M21" s="18"/>
      <c r="N21" s="18"/>
      <c r="O21" s="18"/>
      <c r="P21" s="18"/>
      <c r="Q21" s="18"/>
      <c r="R21" s="18"/>
      <c r="S21" s="18"/>
      <c r="T21" s="18"/>
      <c r="U21" s="18"/>
    </row>
    <row r="22" spans="1:21" x14ac:dyDescent="0.25">
      <c r="A22" s="17" t="s">
        <v>146</v>
      </c>
      <c r="B22" s="570" t="s">
        <v>199</v>
      </c>
      <c r="C22" s="570"/>
      <c r="D22" s="570"/>
      <c r="E22" s="570"/>
      <c r="F22" s="570"/>
      <c r="G22" s="18"/>
      <c r="H22" s="18"/>
      <c r="I22" s="18"/>
      <c r="J22" s="18"/>
      <c r="K22" s="18"/>
      <c r="L22" s="18"/>
      <c r="M22" s="18"/>
      <c r="N22" s="18"/>
      <c r="O22" s="18"/>
      <c r="P22" s="18"/>
      <c r="Q22" s="18"/>
      <c r="R22" s="18"/>
      <c r="S22" s="18"/>
      <c r="T22" s="18"/>
      <c r="U22" s="18"/>
    </row>
    <row r="23" spans="1:21" x14ac:dyDescent="0.25">
      <c r="A23" s="18" t="s">
        <v>22</v>
      </c>
      <c r="B23" s="20" t="s">
        <v>200</v>
      </c>
      <c r="C23" s="18"/>
      <c r="D23" s="18"/>
      <c r="E23" s="18"/>
      <c r="F23" s="18"/>
      <c r="G23" s="18"/>
      <c r="H23" s="18"/>
      <c r="I23" s="18"/>
      <c r="J23" s="18"/>
      <c r="K23" s="18"/>
      <c r="L23" s="18"/>
      <c r="M23" s="18"/>
      <c r="N23" s="18"/>
      <c r="O23" s="18"/>
      <c r="P23" s="18"/>
      <c r="Q23" s="18"/>
      <c r="R23" s="18"/>
      <c r="S23" s="18"/>
      <c r="T23" s="18"/>
      <c r="U23" s="18"/>
    </row>
    <row r="24" spans="1:21" x14ac:dyDescent="0.25">
      <c r="A24" s="18" t="s">
        <v>22</v>
      </c>
      <c r="B24" s="20" t="s">
        <v>223</v>
      </c>
      <c r="C24" s="18"/>
      <c r="D24" s="18"/>
      <c r="E24" s="18"/>
      <c r="F24" s="18"/>
      <c r="G24" s="18"/>
      <c r="H24" s="18"/>
      <c r="I24" s="18"/>
      <c r="J24" s="18"/>
      <c r="K24" s="18"/>
      <c r="L24" s="18"/>
      <c r="M24" s="18"/>
      <c r="N24" s="18"/>
      <c r="O24" s="18"/>
      <c r="P24" s="18"/>
      <c r="Q24" s="18"/>
      <c r="R24" s="18"/>
      <c r="S24" s="18"/>
      <c r="T24" s="18"/>
      <c r="U24" s="18"/>
    </row>
    <row r="25" spans="1:21" x14ac:dyDescent="0.25">
      <c r="A25" s="17" t="s">
        <v>70</v>
      </c>
      <c r="B25" s="570" t="s">
        <v>220</v>
      </c>
      <c r="C25" s="570"/>
      <c r="D25" s="570"/>
      <c r="E25" s="570"/>
      <c r="F25" s="18"/>
      <c r="G25" s="18"/>
      <c r="H25" s="18"/>
      <c r="I25" s="18"/>
      <c r="J25" s="18"/>
      <c r="K25" s="18"/>
      <c r="L25" s="18"/>
      <c r="M25" s="18"/>
      <c r="N25" s="18"/>
      <c r="O25" s="18"/>
      <c r="P25" s="18"/>
      <c r="Q25" s="18"/>
      <c r="R25" s="18"/>
      <c r="S25" s="18"/>
      <c r="T25" s="18"/>
      <c r="U25" s="18"/>
    </row>
    <row r="26" spans="1:21" x14ac:dyDescent="0.25">
      <c r="A26" s="18"/>
      <c r="B26" s="20" t="s">
        <v>202</v>
      </c>
      <c r="C26" s="18"/>
      <c r="D26" s="18"/>
      <c r="E26" s="18"/>
      <c r="F26" s="18"/>
      <c r="G26" s="18"/>
      <c r="H26" s="18"/>
      <c r="I26" s="18"/>
      <c r="J26" s="18"/>
      <c r="K26" s="18"/>
      <c r="L26" s="18"/>
      <c r="M26" s="18"/>
      <c r="N26" s="18"/>
      <c r="O26" s="18"/>
      <c r="P26" s="18"/>
      <c r="Q26" s="18"/>
      <c r="R26" s="18"/>
      <c r="S26" s="18"/>
      <c r="T26" s="18"/>
      <c r="U26" s="18"/>
    </row>
    <row r="27" spans="1:21" x14ac:dyDescent="0.25">
      <c r="A27" s="17" t="s">
        <v>16</v>
      </c>
      <c r="B27" s="570" t="s">
        <v>203</v>
      </c>
      <c r="C27" s="570"/>
      <c r="D27" s="570"/>
      <c r="E27" s="570"/>
      <c r="F27" s="18"/>
      <c r="G27" s="18"/>
      <c r="H27" s="18"/>
      <c r="I27" s="18"/>
      <c r="J27" s="18"/>
      <c r="K27" s="18"/>
      <c r="L27" s="18"/>
      <c r="M27" s="18"/>
      <c r="N27" s="18"/>
      <c r="O27" s="18"/>
      <c r="P27" s="18"/>
      <c r="Q27" s="18"/>
      <c r="R27" s="18"/>
      <c r="S27" s="18"/>
      <c r="T27" s="18"/>
      <c r="U27" s="18"/>
    </row>
    <row r="28" spans="1:21" x14ac:dyDescent="0.25">
      <c r="A28" s="18"/>
      <c r="B28" s="20" t="s">
        <v>204</v>
      </c>
      <c r="C28" s="18"/>
      <c r="D28" s="18"/>
      <c r="E28" s="18"/>
      <c r="F28" s="18"/>
      <c r="G28" s="18"/>
      <c r="H28" s="18"/>
      <c r="I28" s="18"/>
      <c r="J28" s="18"/>
      <c r="K28" s="18"/>
      <c r="L28" s="18"/>
      <c r="M28" s="18"/>
      <c r="N28" s="18"/>
      <c r="O28" s="18"/>
      <c r="P28" s="18"/>
      <c r="Q28" s="18"/>
      <c r="R28" s="18"/>
      <c r="S28" s="18"/>
      <c r="T28" s="18"/>
      <c r="U28" s="18"/>
    </row>
    <row r="29" spans="1:21" x14ac:dyDescent="0.25">
      <c r="A29" s="18" t="s">
        <v>22</v>
      </c>
      <c r="B29" s="20" t="s">
        <v>205</v>
      </c>
      <c r="C29" s="18"/>
      <c r="D29" s="18"/>
      <c r="E29" s="18"/>
      <c r="F29" s="18"/>
      <c r="G29" s="18"/>
      <c r="H29" s="18"/>
      <c r="I29" s="18"/>
      <c r="J29" s="18"/>
      <c r="K29" s="18"/>
      <c r="L29" s="18"/>
      <c r="M29" s="18"/>
      <c r="N29" s="18"/>
      <c r="O29" s="18"/>
      <c r="P29" s="18"/>
      <c r="Q29" s="18"/>
      <c r="R29" s="18"/>
      <c r="S29" s="18"/>
      <c r="T29" s="18"/>
      <c r="U29" s="18"/>
    </row>
    <row r="30" spans="1:21" x14ac:dyDescent="0.25">
      <c r="A30" s="16"/>
    </row>
  </sheetData>
  <mergeCells count="41">
    <mergeCell ref="U5:U10"/>
    <mergeCell ref="F6:F10"/>
    <mergeCell ref="G6:L6"/>
    <mergeCell ref="M6:M10"/>
    <mergeCell ref="N6:P6"/>
    <mergeCell ref="I9:J9"/>
    <mergeCell ref="K9:K10"/>
    <mergeCell ref="K8:L8"/>
    <mergeCell ref="N8:N10"/>
    <mergeCell ref="A5:A10"/>
    <mergeCell ref="B5:B10"/>
    <mergeCell ref="C5:C10"/>
    <mergeCell ref="D5:D10"/>
    <mergeCell ref="E5:E10"/>
    <mergeCell ref="B27:E27"/>
    <mergeCell ref="B13:F13"/>
    <mergeCell ref="B14:E14"/>
    <mergeCell ref="B19:H19"/>
    <mergeCell ref="B22:F22"/>
    <mergeCell ref="B25:E25"/>
    <mergeCell ref="A1:U1"/>
    <mergeCell ref="A2:U2"/>
    <mergeCell ref="A3:U3"/>
    <mergeCell ref="S4:U4"/>
    <mergeCell ref="L9:L10"/>
    <mergeCell ref="N7:O7"/>
    <mergeCell ref="P7:P10"/>
    <mergeCell ref="R7:S7"/>
    <mergeCell ref="T7:T10"/>
    <mergeCell ref="H8:J8"/>
    <mergeCell ref="Q6:Q10"/>
    <mergeCell ref="R6:T6"/>
    <mergeCell ref="G7:G10"/>
    <mergeCell ref="F5:L5"/>
    <mergeCell ref="H7:L7"/>
    <mergeCell ref="H9:H10"/>
    <mergeCell ref="O8:O10"/>
    <mergeCell ref="R8:R10"/>
    <mergeCell ref="S8:S10"/>
    <mergeCell ref="M5:P5"/>
    <mergeCell ref="Q5:T5"/>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rgb="FF00B0F0"/>
  </sheetPr>
  <dimension ref="A1:E20"/>
  <sheetViews>
    <sheetView workbookViewId="0">
      <selection activeCell="M17" sqref="M17"/>
    </sheetView>
  </sheetViews>
  <sheetFormatPr defaultRowHeight="15" x14ac:dyDescent="0.25"/>
  <cols>
    <col min="1" max="1" width="6.28515625" customWidth="1"/>
    <col min="2" max="2" width="42" customWidth="1"/>
    <col min="3" max="5" width="13.5703125" customWidth="1"/>
  </cols>
  <sheetData>
    <row r="1" spans="1:5" ht="15.75" x14ac:dyDescent="0.25">
      <c r="E1" s="25" t="s">
        <v>871</v>
      </c>
    </row>
    <row r="2" spans="1:5" ht="15.75" x14ac:dyDescent="0.25">
      <c r="A2" s="551" t="s">
        <v>872</v>
      </c>
      <c r="B2" s="551"/>
      <c r="C2" s="551"/>
      <c r="D2" s="551"/>
      <c r="E2" s="551"/>
    </row>
    <row r="3" spans="1:5" ht="15.75" x14ac:dyDescent="0.25">
      <c r="A3" s="551" t="s">
        <v>873</v>
      </c>
      <c r="B3" s="551"/>
      <c r="C3" s="551"/>
      <c r="D3" s="551"/>
      <c r="E3" s="551"/>
    </row>
    <row r="4" spans="1:5" ht="15.75" x14ac:dyDescent="0.25">
      <c r="A4" s="551" t="s">
        <v>126</v>
      </c>
      <c r="B4" s="551"/>
      <c r="C4" s="551"/>
      <c r="D4" s="551"/>
      <c r="E4" s="551"/>
    </row>
    <row r="5" spans="1:5" ht="15.75" x14ac:dyDescent="0.25">
      <c r="E5" s="26" t="s">
        <v>56</v>
      </c>
    </row>
    <row r="6" spans="1:5" ht="31.5" x14ac:dyDescent="0.25">
      <c r="A6" s="29" t="s">
        <v>3</v>
      </c>
      <c r="B6" s="29" t="s">
        <v>4</v>
      </c>
      <c r="C6" s="29" t="s">
        <v>618</v>
      </c>
      <c r="D6" s="29" t="s">
        <v>868</v>
      </c>
      <c r="E6" s="29" t="s">
        <v>374</v>
      </c>
    </row>
    <row r="7" spans="1:5" s="39" customFormat="1" ht="12.75" x14ac:dyDescent="0.2">
      <c r="A7" s="38" t="s">
        <v>15</v>
      </c>
      <c r="B7" s="38" t="s">
        <v>16</v>
      </c>
      <c r="C7" s="38">
        <v>1</v>
      </c>
      <c r="D7" s="38">
        <v>2</v>
      </c>
      <c r="E7" s="38" t="s">
        <v>269</v>
      </c>
    </row>
    <row r="8" spans="1:5" ht="19.5" customHeight="1" x14ac:dyDescent="0.25">
      <c r="A8" s="28"/>
      <c r="B8" s="30" t="s">
        <v>133</v>
      </c>
      <c r="C8" s="31"/>
      <c r="D8" s="31"/>
      <c r="E8" s="31"/>
    </row>
    <row r="9" spans="1:5" ht="19.5" customHeight="1" x14ac:dyDescent="0.25">
      <c r="A9" s="28">
        <v>1</v>
      </c>
      <c r="B9" s="31" t="s">
        <v>633</v>
      </c>
      <c r="C9" s="31"/>
      <c r="D9" s="31"/>
      <c r="E9" s="31"/>
    </row>
    <row r="10" spans="1:5" ht="19.5" customHeight="1" x14ac:dyDescent="0.25">
      <c r="A10" s="28" t="s">
        <v>22</v>
      </c>
      <c r="B10" s="32" t="s">
        <v>634</v>
      </c>
      <c r="C10" s="31"/>
      <c r="D10" s="31"/>
      <c r="E10" s="31"/>
    </row>
    <row r="11" spans="1:5" ht="19.5" customHeight="1" x14ac:dyDescent="0.25">
      <c r="A11" s="28" t="s">
        <v>22</v>
      </c>
      <c r="B11" s="32" t="s">
        <v>635</v>
      </c>
      <c r="C11" s="31"/>
      <c r="D11" s="31"/>
      <c r="E11" s="31"/>
    </row>
    <row r="12" spans="1:5" ht="19.5" customHeight="1" x14ac:dyDescent="0.25">
      <c r="A12" s="28">
        <v>2</v>
      </c>
      <c r="B12" s="31" t="s">
        <v>636</v>
      </c>
      <c r="C12" s="31"/>
      <c r="D12" s="31"/>
      <c r="E12" s="31"/>
    </row>
    <row r="13" spans="1:5" ht="19.5" customHeight="1" x14ac:dyDescent="0.25">
      <c r="A13" s="28">
        <v>3</v>
      </c>
      <c r="B13" s="31" t="s">
        <v>637</v>
      </c>
      <c r="C13" s="31"/>
      <c r="D13" s="31"/>
      <c r="E13" s="31"/>
    </row>
    <row r="14" spans="1:5" ht="19.5" customHeight="1" x14ac:dyDescent="0.25">
      <c r="A14" s="28">
        <v>4</v>
      </c>
      <c r="B14" s="31" t="s">
        <v>638</v>
      </c>
      <c r="C14" s="31"/>
      <c r="D14" s="31"/>
      <c r="E14" s="31"/>
    </row>
    <row r="15" spans="1:5" ht="19.5" customHeight="1" x14ac:dyDescent="0.25">
      <c r="A15" s="28">
        <v>5</v>
      </c>
      <c r="B15" s="31" t="s">
        <v>639</v>
      </c>
      <c r="C15" s="31"/>
      <c r="D15" s="31"/>
      <c r="E15" s="31"/>
    </row>
    <row r="16" spans="1:5" ht="19.5" customHeight="1" x14ac:dyDescent="0.25">
      <c r="A16" s="28">
        <v>6</v>
      </c>
      <c r="B16" s="31" t="s">
        <v>640</v>
      </c>
      <c r="C16" s="31"/>
      <c r="D16" s="31"/>
      <c r="E16" s="31"/>
    </row>
    <row r="17" spans="1:5" ht="19.5" customHeight="1" x14ac:dyDescent="0.25">
      <c r="A17" s="28">
        <v>7</v>
      </c>
      <c r="B17" s="31" t="s">
        <v>707</v>
      </c>
      <c r="C17" s="31"/>
      <c r="D17" s="31"/>
      <c r="E17" s="31"/>
    </row>
    <row r="18" spans="1:5" ht="19.5" customHeight="1" x14ac:dyDescent="0.25">
      <c r="A18" s="28">
        <v>8</v>
      </c>
      <c r="B18" s="31"/>
      <c r="C18" s="31"/>
      <c r="D18" s="31"/>
      <c r="E18" s="31"/>
    </row>
    <row r="19" spans="1:5" ht="19.5" customHeight="1" x14ac:dyDescent="0.25">
      <c r="A19" s="28">
        <v>9</v>
      </c>
      <c r="B19" s="31"/>
      <c r="C19" s="31"/>
      <c r="D19" s="31"/>
      <c r="E19" s="31"/>
    </row>
    <row r="20" spans="1:5" ht="19.5" customHeight="1" x14ac:dyDescent="0.25">
      <c r="A20" s="28">
        <v>10</v>
      </c>
      <c r="B20" s="31"/>
      <c r="C20" s="31"/>
      <c r="D20" s="31"/>
      <c r="E20" s="31"/>
    </row>
  </sheetData>
  <mergeCells count="3">
    <mergeCell ref="A2:E2"/>
    <mergeCell ref="A3:E3"/>
    <mergeCell ref="A4: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sheetPr>
  <dimension ref="A1:I41"/>
  <sheetViews>
    <sheetView workbookViewId="0">
      <selection activeCell="E33" sqref="E33"/>
    </sheetView>
  </sheetViews>
  <sheetFormatPr defaultColWidth="9.28515625" defaultRowHeight="15" x14ac:dyDescent="0.25"/>
  <cols>
    <col min="1" max="1" width="5.42578125" style="1" customWidth="1"/>
    <col min="2" max="2" width="45.7109375" style="1" customWidth="1"/>
    <col min="3" max="3" width="9.28515625" style="1"/>
    <col min="4" max="4" width="8.7109375" style="1" customWidth="1"/>
    <col min="5" max="5" width="7" style="1" customWidth="1"/>
    <col min="6" max="7" width="8.28515625" style="1" customWidth="1"/>
    <col min="8" max="8" width="8.7109375" style="1" customWidth="1"/>
    <col min="9" max="16384" width="9.28515625" style="1"/>
  </cols>
  <sheetData>
    <row r="1" spans="1:9" x14ac:dyDescent="0.25">
      <c r="A1" s="559" t="s">
        <v>224</v>
      </c>
      <c r="B1" s="559"/>
      <c r="C1" s="559"/>
      <c r="D1" s="559"/>
      <c r="E1" s="559"/>
      <c r="F1" s="559"/>
      <c r="G1" s="559"/>
      <c r="H1" s="559"/>
      <c r="I1" s="559"/>
    </row>
    <row r="2" spans="1:9" ht="18.75" x14ac:dyDescent="0.25">
      <c r="A2" s="554" t="s">
        <v>225</v>
      </c>
      <c r="B2" s="554"/>
      <c r="C2" s="554"/>
      <c r="D2" s="554"/>
      <c r="E2" s="554"/>
      <c r="F2" s="554"/>
      <c r="G2" s="554"/>
      <c r="H2" s="554"/>
      <c r="I2" s="554"/>
    </row>
    <row r="3" spans="1:9" x14ac:dyDescent="0.25">
      <c r="A3" s="560" t="s">
        <v>226</v>
      </c>
      <c r="B3" s="560"/>
      <c r="C3" s="560"/>
      <c r="D3" s="560"/>
      <c r="E3" s="560"/>
      <c r="F3" s="560"/>
      <c r="G3" s="560"/>
      <c r="H3" s="560"/>
      <c r="I3" s="560"/>
    </row>
    <row r="4" spans="1:9" x14ac:dyDescent="0.25">
      <c r="H4" s="561" t="s">
        <v>56</v>
      </c>
      <c r="I4" s="561"/>
    </row>
    <row r="5" spans="1:9" ht="20.25" customHeight="1" x14ac:dyDescent="0.25">
      <c r="A5" s="558" t="s">
        <v>3</v>
      </c>
      <c r="B5" s="558" t="s">
        <v>4</v>
      </c>
      <c r="C5" s="558" t="s">
        <v>227</v>
      </c>
      <c r="D5" s="558" t="s">
        <v>228</v>
      </c>
      <c r="E5" s="558" t="s">
        <v>229</v>
      </c>
      <c r="F5" s="558"/>
      <c r="G5" s="558" t="s">
        <v>230</v>
      </c>
      <c r="H5" s="558" t="s">
        <v>231</v>
      </c>
      <c r="I5" s="558" t="s">
        <v>232</v>
      </c>
    </row>
    <row r="6" spans="1:9" ht="54" customHeight="1" x14ac:dyDescent="0.25">
      <c r="A6" s="558"/>
      <c r="B6" s="558"/>
      <c r="C6" s="558"/>
      <c r="D6" s="558"/>
      <c r="E6" s="2" t="s">
        <v>233</v>
      </c>
      <c r="F6" s="2" t="s">
        <v>234</v>
      </c>
      <c r="G6" s="558"/>
      <c r="H6" s="558"/>
      <c r="I6" s="558"/>
    </row>
    <row r="7" spans="1:9" x14ac:dyDescent="0.25">
      <c r="A7" s="2" t="s">
        <v>15</v>
      </c>
      <c r="B7" s="2" t="s">
        <v>16</v>
      </c>
      <c r="C7" s="2">
        <v>1</v>
      </c>
      <c r="D7" s="2">
        <v>2</v>
      </c>
      <c r="E7" s="2" t="s">
        <v>235</v>
      </c>
      <c r="F7" s="2" t="s">
        <v>236</v>
      </c>
      <c r="G7" s="2">
        <v>5</v>
      </c>
      <c r="H7" s="2">
        <v>6</v>
      </c>
      <c r="I7" s="2">
        <v>7</v>
      </c>
    </row>
    <row r="8" spans="1:9" x14ac:dyDescent="0.25">
      <c r="A8" s="2" t="s">
        <v>15</v>
      </c>
      <c r="B8" s="14" t="s">
        <v>237</v>
      </c>
      <c r="C8" s="57">
        <f>+C9+C10+C13+C14+C15</f>
        <v>0</v>
      </c>
      <c r="D8" s="57">
        <f t="shared" ref="D8:I8" si="0">+D9+D10+D13+D14+D15</f>
        <v>0</v>
      </c>
      <c r="E8" s="57">
        <f t="shared" si="0"/>
        <v>0</v>
      </c>
      <c r="F8" s="57">
        <f t="shared" si="0"/>
        <v>0</v>
      </c>
      <c r="G8" s="57">
        <f t="shared" si="0"/>
        <v>0</v>
      </c>
      <c r="H8" s="57">
        <f t="shared" si="0"/>
        <v>0</v>
      </c>
      <c r="I8" s="57">
        <f t="shared" si="0"/>
        <v>0</v>
      </c>
    </row>
    <row r="9" spans="1:9" x14ac:dyDescent="0.25">
      <c r="A9" s="2" t="s">
        <v>83</v>
      </c>
      <c r="B9" s="14" t="s">
        <v>238</v>
      </c>
      <c r="C9" s="55"/>
      <c r="D9" s="55"/>
      <c r="E9" s="55"/>
      <c r="F9" s="55"/>
      <c r="G9" s="55"/>
      <c r="H9" s="55"/>
      <c r="I9" s="55"/>
    </row>
    <row r="10" spans="1:9" x14ac:dyDescent="0.25">
      <c r="A10" s="2" t="s">
        <v>70</v>
      </c>
      <c r="B10" s="14" t="s">
        <v>239</v>
      </c>
      <c r="C10" s="57">
        <f>SUM(C11:C12)</f>
        <v>0</v>
      </c>
      <c r="D10" s="57">
        <f t="shared" ref="D10:I10" si="1">SUM(D11:D12)</f>
        <v>0</v>
      </c>
      <c r="E10" s="57">
        <f t="shared" si="1"/>
        <v>0</v>
      </c>
      <c r="F10" s="57">
        <f t="shared" si="1"/>
        <v>0</v>
      </c>
      <c r="G10" s="57">
        <f t="shared" si="1"/>
        <v>0</v>
      </c>
      <c r="H10" s="57">
        <f t="shared" si="1"/>
        <v>0</v>
      </c>
      <c r="I10" s="57">
        <f t="shared" si="1"/>
        <v>0</v>
      </c>
    </row>
    <row r="11" spans="1:9" x14ac:dyDescent="0.25">
      <c r="A11" s="3">
        <v>1</v>
      </c>
      <c r="B11" s="4" t="s">
        <v>240</v>
      </c>
      <c r="C11" s="55"/>
      <c r="D11" s="55"/>
      <c r="E11" s="55"/>
      <c r="F11" s="55"/>
      <c r="G11" s="55"/>
      <c r="H11" s="55"/>
      <c r="I11" s="55"/>
    </row>
    <row r="12" spans="1:9" x14ac:dyDescent="0.25">
      <c r="A12" s="3">
        <v>2</v>
      </c>
      <c r="B12" s="4" t="s">
        <v>88</v>
      </c>
      <c r="C12" s="55"/>
      <c r="D12" s="55"/>
      <c r="E12" s="55"/>
      <c r="F12" s="55"/>
      <c r="G12" s="55"/>
      <c r="H12" s="55"/>
      <c r="I12" s="55"/>
    </row>
    <row r="13" spans="1:9" x14ac:dyDescent="0.25">
      <c r="A13" s="2" t="s">
        <v>73</v>
      </c>
      <c r="B13" s="14" t="s">
        <v>241</v>
      </c>
      <c r="C13" s="55"/>
      <c r="D13" s="55"/>
      <c r="E13" s="55"/>
      <c r="F13" s="55"/>
      <c r="G13" s="55"/>
      <c r="H13" s="55"/>
      <c r="I13" s="55"/>
    </row>
    <row r="14" spans="1:9" x14ac:dyDescent="0.25">
      <c r="A14" s="2" t="s">
        <v>77</v>
      </c>
      <c r="B14" s="14" t="s">
        <v>242</v>
      </c>
      <c r="C14" s="55"/>
      <c r="D14" s="55"/>
      <c r="E14" s="55"/>
      <c r="F14" s="55"/>
      <c r="G14" s="55"/>
      <c r="H14" s="55"/>
      <c r="I14" s="55"/>
    </row>
    <row r="15" spans="1:9" x14ac:dyDescent="0.25">
      <c r="A15" s="2" t="s">
        <v>113</v>
      </c>
      <c r="B15" s="14" t="s">
        <v>243</v>
      </c>
      <c r="C15" s="55"/>
      <c r="D15" s="55"/>
      <c r="E15" s="55"/>
      <c r="F15" s="55"/>
      <c r="G15" s="55"/>
      <c r="H15" s="55"/>
      <c r="I15" s="55"/>
    </row>
    <row r="16" spans="1:9" x14ac:dyDescent="0.25">
      <c r="A16" s="2" t="s">
        <v>16</v>
      </c>
      <c r="B16" s="14" t="s">
        <v>90</v>
      </c>
      <c r="C16" s="57">
        <f>+C17+C24+C27</f>
        <v>0</v>
      </c>
      <c r="D16" s="57">
        <f t="shared" ref="D16:I16" si="2">+D17+D24+D27</f>
        <v>0</v>
      </c>
      <c r="E16" s="57">
        <f t="shared" si="2"/>
        <v>0</v>
      </c>
      <c r="F16" s="57">
        <f t="shared" si="2"/>
        <v>0</v>
      </c>
      <c r="G16" s="57">
        <f t="shared" si="2"/>
        <v>0</v>
      </c>
      <c r="H16" s="57">
        <f t="shared" si="2"/>
        <v>0</v>
      </c>
      <c r="I16" s="57">
        <f t="shared" si="2"/>
        <v>0</v>
      </c>
    </row>
    <row r="17" spans="1:9" x14ac:dyDescent="0.25">
      <c r="A17" s="2" t="s">
        <v>83</v>
      </c>
      <c r="B17" s="14" t="s">
        <v>244</v>
      </c>
      <c r="C17" s="57">
        <f>SUM(C18:C23)</f>
        <v>0</v>
      </c>
      <c r="D17" s="57">
        <f t="shared" ref="D17:I17" si="3">SUM(D18:D23)</f>
        <v>0</v>
      </c>
      <c r="E17" s="57">
        <f t="shared" si="3"/>
        <v>0</v>
      </c>
      <c r="F17" s="57">
        <f t="shared" si="3"/>
        <v>0</v>
      </c>
      <c r="G17" s="57">
        <f t="shared" si="3"/>
        <v>0</v>
      </c>
      <c r="H17" s="57">
        <f t="shared" si="3"/>
        <v>0</v>
      </c>
      <c r="I17" s="57">
        <f t="shared" si="3"/>
        <v>0</v>
      </c>
    </row>
    <row r="18" spans="1:9" x14ac:dyDescent="0.25">
      <c r="A18" s="3">
        <v>1</v>
      </c>
      <c r="B18" s="4" t="s">
        <v>93</v>
      </c>
      <c r="C18" s="55"/>
      <c r="D18" s="55"/>
      <c r="E18" s="55"/>
      <c r="F18" s="55"/>
      <c r="G18" s="55"/>
      <c r="H18" s="55"/>
      <c r="I18" s="55"/>
    </row>
    <row r="19" spans="1:9" x14ac:dyDescent="0.25">
      <c r="A19" s="3">
        <v>2</v>
      </c>
      <c r="B19" s="4" t="s">
        <v>96</v>
      </c>
      <c r="C19" s="55"/>
      <c r="D19" s="55"/>
      <c r="E19" s="55"/>
      <c r="F19" s="55"/>
      <c r="G19" s="55"/>
      <c r="H19" s="55"/>
      <c r="I19" s="55"/>
    </row>
    <row r="20" spans="1:9" ht="30" x14ac:dyDescent="0.25">
      <c r="A20" s="3">
        <v>3</v>
      </c>
      <c r="B20" s="4" t="s">
        <v>245</v>
      </c>
      <c r="C20" s="55"/>
      <c r="D20" s="55"/>
      <c r="E20" s="55"/>
      <c r="F20" s="55"/>
      <c r="G20" s="55"/>
      <c r="H20" s="55"/>
      <c r="I20" s="55"/>
    </row>
    <row r="21" spans="1:9" x14ac:dyDescent="0.25">
      <c r="A21" s="3">
        <v>4</v>
      </c>
      <c r="B21" s="4" t="s">
        <v>246</v>
      </c>
      <c r="C21" s="55"/>
      <c r="D21" s="55"/>
      <c r="E21" s="55"/>
      <c r="F21" s="55"/>
      <c r="G21" s="55"/>
      <c r="H21" s="55"/>
      <c r="I21" s="55"/>
    </row>
    <row r="22" spans="1:9" x14ac:dyDescent="0.25">
      <c r="A22" s="3">
        <v>5</v>
      </c>
      <c r="B22" s="4" t="s">
        <v>247</v>
      </c>
      <c r="C22" s="55"/>
      <c r="D22" s="55"/>
      <c r="E22" s="55"/>
      <c r="F22" s="55"/>
      <c r="G22" s="55"/>
      <c r="H22" s="55"/>
      <c r="I22" s="55"/>
    </row>
    <row r="23" spans="1:9" x14ac:dyDescent="0.25">
      <c r="A23" s="3">
        <v>6</v>
      </c>
      <c r="B23" s="4" t="s">
        <v>98</v>
      </c>
      <c r="C23" s="55"/>
      <c r="D23" s="55"/>
      <c r="E23" s="55"/>
      <c r="F23" s="55"/>
      <c r="G23" s="55"/>
      <c r="H23" s="55"/>
      <c r="I23" s="55"/>
    </row>
    <row r="24" spans="1:9" x14ac:dyDescent="0.25">
      <c r="A24" s="2" t="s">
        <v>70</v>
      </c>
      <c r="B24" s="14" t="s">
        <v>248</v>
      </c>
      <c r="C24" s="57">
        <f>SUM(C25:C26)</f>
        <v>0</v>
      </c>
      <c r="D24" s="57">
        <f t="shared" ref="D24:I24" si="4">SUM(D25:D26)</f>
        <v>0</v>
      </c>
      <c r="E24" s="57">
        <f t="shared" si="4"/>
        <v>0</v>
      </c>
      <c r="F24" s="57">
        <f t="shared" si="4"/>
        <v>0</v>
      </c>
      <c r="G24" s="57">
        <f t="shared" si="4"/>
        <v>0</v>
      </c>
      <c r="H24" s="57">
        <f t="shared" si="4"/>
        <v>0</v>
      </c>
      <c r="I24" s="57">
        <f t="shared" si="4"/>
        <v>0</v>
      </c>
    </row>
    <row r="25" spans="1:9" x14ac:dyDescent="0.25">
      <c r="A25" s="3">
        <v>1</v>
      </c>
      <c r="B25" s="4" t="s">
        <v>249</v>
      </c>
      <c r="C25" s="55"/>
      <c r="D25" s="55"/>
      <c r="E25" s="55"/>
      <c r="F25" s="55"/>
      <c r="G25" s="55"/>
      <c r="H25" s="55"/>
      <c r="I25" s="55"/>
    </row>
    <row r="26" spans="1:9" x14ac:dyDescent="0.25">
      <c r="A26" s="3">
        <v>2</v>
      </c>
      <c r="B26" s="4" t="s">
        <v>250</v>
      </c>
      <c r="C26" s="55"/>
      <c r="D26" s="55"/>
      <c r="E26" s="55"/>
      <c r="F26" s="55"/>
      <c r="G26" s="55"/>
      <c r="H26" s="55"/>
      <c r="I26" s="55"/>
    </row>
    <row r="27" spans="1:9" x14ac:dyDescent="0.25">
      <c r="A27" s="2" t="s">
        <v>73</v>
      </c>
      <c r="B27" s="14" t="s">
        <v>251</v>
      </c>
      <c r="C27" s="55"/>
      <c r="D27" s="55"/>
      <c r="E27" s="55"/>
      <c r="F27" s="55"/>
      <c r="G27" s="55"/>
      <c r="H27" s="55"/>
      <c r="I27" s="55"/>
    </row>
    <row r="28" spans="1:9" x14ac:dyDescent="0.25">
      <c r="A28" s="2" t="s">
        <v>79</v>
      </c>
      <c r="B28" s="14" t="s">
        <v>252</v>
      </c>
      <c r="C28" s="55"/>
      <c r="D28" s="55"/>
      <c r="E28" s="55"/>
      <c r="F28" s="55"/>
      <c r="G28" s="55"/>
      <c r="H28" s="55"/>
      <c r="I28" s="55"/>
    </row>
    <row r="29" spans="1:9" x14ac:dyDescent="0.25">
      <c r="A29" s="2" t="s">
        <v>89</v>
      </c>
      <c r="B29" s="14" t="s">
        <v>253</v>
      </c>
      <c r="C29" s="57">
        <f>+C30+C31+C32+C35+C38</f>
        <v>0</v>
      </c>
      <c r="D29" s="57">
        <f t="shared" ref="D29:I29" si="5">+D30+D31+D32+D35+D38</f>
        <v>0</v>
      </c>
      <c r="E29" s="57">
        <f t="shared" si="5"/>
        <v>0</v>
      </c>
      <c r="F29" s="57">
        <f t="shared" si="5"/>
        <v>0</v>
      </c>
      <c r="G29" s="57">
        <f t="shared" si="5"/>
        <v>0</v>
      </c>
      <c r="H29" s="57">
        <f t="shared" si="5"/>
        <v>0</v>
      </c>
      <c r="I29" s="57">
        <f t="shared" si="5"/>
        <v>0</v>
      </c>
    </row>
    <row r="30" spans="1:9" x14ac:dyDescent="0.25">
      <c r="A30" s="2" t="s">
        <v>83</v>
      </c>
      <c r="B30" s="14" t="s">
        <v>254</v>
      </c>
      <c r="C30" s="55"/>
      <c r="D30" s="55"/>
      <c r="E30" s="55"/>
      <c r="F30" s="55"/>
      <c r="G30" s="55"/>
      <c r="H30" s="55"/>
      <c r="I30" s="55"/>
    </row>
    <row r="31" spans="1:9" x14ac:dyDescent="0.25">
      <c r="A31" s="2" t="s">
        <v>70</v>
      </c>
      <c r="B31" s="14" t="s">
        <v>255</v>
      </c>
      <c r="C31" s="55"/>
      <c r="D31" s="55"/>
      <c r="E31" s="55"/>
      <c r="F31" s="55"/>
      <c r="G31" s="55"/>
      <c r="H31" s="55"/>
      <c r="I31" s="55"/>
    </row>
    <row r="32" spans="1:9" x14ac:dyDescent="0.25">
      <c r="A32" s="2" t="s">
        <v>73</v>
      </c>
      <c r="B32" s="14" t="s">
        <v>256</v>
      </c>
      <c r="C32" s="57">
        <f>SUM(C33:C34)</f>
        <v>0</v>
      </c>
      <c r="D32" s="57">
        <f t="shared" ref="D32:I32" si="6">SUM(D33:D34)</f>
        <v>0</v>
      </c>
      <c r="E32" s="57">
        <f t="shared" si="6"/>
        <v>0</v>
      </c>
      <c r="F32" s="57">
        <f t="shared" si="6"/>
        <v>0</v>
      </c>
      <c r="G32" s="57">
        <f t="shared" si="6"/>
        <v>0</v>
      </c>
      <c r="H32" s="57">
        <f t="shared" si="6"/>
        <v>0</v>
      </c>
      <c r="I32" s="57">
        <f t="shared" si="6"/>
        <v>0</v>
      </c>
    </row>
    <row r="33" spans="1:9" x14ac:dyDescent="0.25">
      <c r="A33" s="3">
        <v>1</v>
      </c>
      <c r="B33" s="56" t="s">
        <v>956</v>
      </c>
      <c r="C33" s="55"/>
      <c r="D33" s="55"/>
      <c r="E33" s="55"/>
      <c r="F33" s="55"/>
      <c r="G33" s="55"/>
      <c r="H33" s="55"/>
      <c r="I33" s="55"/>
    </row>
    <row r="34" spans="1:9" ht="30" customHeight="1" x14ac:dyDescent="0.25">
      <c r="A34" s="3">
        <v>2</v>
      </c>
      <c r="B34" s="56" t="s">
        <v>257</v>
      </c>
      <c r="C34" s="55"/>
      <c r="D34" s="55"/>
      <c r="E34" s="55"/>
      <c r="F34" s="55"/>
      <c r="G34" s="55"/>
      <c r="H34" s="55"/>
      <c r="I34" s="55"/>
    </row>
    <row r="35" spans="1:9" x14ac:dyDescent="0.25">
      <c r="A35" s="2" t="s">
        <v>77</v>
      </c>
      <c r="B35" s="14" t="s">
        <v>258</v>
      </c>
      <c r="C35" s="57">
        <f t="shared" ref="C35:I35" si="7">SUM(C36:C37)</f>
        <v>0</v>
      </c>
      <c r="D35" s="57">
        <f t="shared" si="7"/>
        <v>0</v>
      </c>
      <c r="E35" s="57">
        <f t="shared" si="7"/>
        <v>0</v>
      </c>
      <c r="F35" s="57">
        <f t="shared" si="7"/>
        <v>0</v>
      </c>
      <c r="G35" s="57">
        <f t="shared" si="7"/>
        <v>0</v>
      </c>
      <c r="H35" s="57">
        <f t="shared" si="7"/>
        <v>0</v>
      </c>
      <c r="I35" s="57">
        <f t="shared" si="7"/>
        <v>0</v>
      </c>
    </row>
    <row r="36" spans="1:9" x14ac:dyDescent="0.25">
      <c r="A36" s="3">
        <v>1</v>
      </c>
      <c r="B36" s="4" t="s">
        <v>259</v>
      </c>
      <c r="C36" s="55"/>
      <c r="D36" s="55"/>
      <c r="E36" s="55"/>
      <c r="F36" s="55"/>
      <c r="G36" s="55"/>
      <c r="H36" s="55"/>
      <c r="I36" s="55"/>
    </row>
    <row r="37" spans="1:9" x14ac:dyDescent="0.25">
      <c r="A37" s="3">
        <v>2</v>
      </c>
      <c r="B37" s="4" t="s">
        <v>260</v>
      </c>
      <c r="C37" s="55"/>
      <c r="D37" s="55"/>
      <c r="E37" s="55"/>
      <c r="F37" s="55"/>
      <c r="G37" s="55"/>
      <c r="H37" s="55"/>
      <c r="I37" s="55"/>
    </row>
    <row r="38" spans="1:9" x14ac:dyDescent="0.25">
      <c r="A38" s="2" t="s">
        <v>113</v>
      </c>
      <c r="B38" s="14" t="s">
        <v>114</v>
      </c>
      <c r="C38" s="55"/>
      <c r="D38" s="55"/>
      <c r="E38" s="55"/>
      <c r="F38" s="55"/>
      <c r="G38" s="55"/>
      <c r="H38" s="55"/>
      <c r="I38" s="55"/>
    </row>
    <row r="39" spans="1:9" ht="19.5" customHeight="1" x14ac:dyDescent="0.25">
      <c r="A39" s="15" t="s">
        <v>118</v>
      </c>
    </row>
    <row r="40" spans="1:9" ht="51" customHeight="1" x14ac:dyDescent="0.25">
      <c r="A40" s="562" t="s">
        <v>119</v>
      </c>
      <c r="B40" s="562"/>
      <c r="C40" s="562"/>
      <c r="D40" s="562"/>
      <c r="E40" s="562"/>
      <c r="F40" s="562"/>
      <c r="G40" s="562"/>
      <c r="H40" s="562"/>
      <c r="I40" s="562"/>
    </row>
    <row r="41" spans="1:9" ht="36" customHeight="1" x14ac:dyDescent="0.25">
      <c r="A41" s="562" t="s">
        <v>261</v>
      </c>
      <c r="B41" s="562"/>
      <c r="C41" s="562"/>
      <c r="D41" s="562"/>
      <c r="E41" s="562"/>
      <c r="F41" s="562"/>
      <c r="G41" s="562"/>
      <c r="H41" s="562"/>
      <c r="I41" s="562"/>
    </row>
  </sheetData>
  <mergeCells count="14">
    <mergeCell ref="A41:I41"/>
    <mergeCell ref="H5:H6"/>
    <mergeCell ref="I5:I6"/>
    <mergeCell ref="A1:I1"/>
    <mergeCell ref="A2:I2"/>
    <mergeCell ref="A3:I3"/>
    <mergeCell ref="H4:I4"/>
    <mergeCell ref="A5:A6"/>
    <mergeCell ref="B5:B6"/>
    <mergeCell ref="C5:C6"/>
    <mergeCell ref="D5:D6"/>
    <mergeCell ref="E5:F5"/>
    <mergeCell ref="G5:G6"/>
    <mergeCell ref="A40:I40"/>
  </mergeCells>
  <pageMargins left="0.55000000000000004" right="0.23"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39997558519241921"/>
  </sheetPr>
  <dimension ref="A1:G38"/>
  <sheetViews>
    <sheetView workbookViewId="0">
      <selection activeCell="E33" sqref="E33"/>
    </sheetView>
  </sheetViews>
  <sheetFormatPr defaultColWidth="9.28515625" defaultRowHeight="15" x14ac:dyDescent="0.25"/>
  <cols>
    <col min="1" max="1" width="5.7109375" style="1" customWidth="1"/>
    <col min="2" max="2" width="45.28515625" style="1" customWidth="1"/>
    <col min="3" max="4" width="11.28515625" style="1" customWidth="1"/>
    <col min="5" max="7" width="11.5703125" style="1" customWidth="1"/>
    <col min="8" max="16384" width="9.28515625" style="1"/>
  </cols>
  <sheetData>
    <row r="1" spans="1:7" x14ac:dyDescent="0.25">
      <c r="A1" s="559" t="s">
        <v>262</v>
      </c>
      <c r="B1" s="559"/>
      <c r="C1" s="559"/>
      <c r="D1" s="559"/>
      <c r="E1" s="559"/>
      <c r="F1" s="559"/>
      <c r="G1" s="559"/>
    </row>
    <row r="2" spans="1:7" ht="25.5" customHeight="1" x14ac:dyDescent="0.25">
      <c r="A2" s="554" t="s">
        <v>263</v>
      </c>
      <c r="B2" s="554"/>
      <c r="C2" s="554"/>
      <c r="D2" s="554"/>
      <c r="E2" s="554"/>
      <c r="F2" s="554"/>
      <c r="G2" s="554"/>
    </row>
    <row r="3" spans="1:7" x14ac:dyDescent="0.25">
      <c r="A3" s="560" t="s">
        <v>264</v>
      </c>
      <c r="B3" s="560"/>
      <c r="C3" s="560"/>
      <c r="D3" s="560"/>
      <c r="E3" s="560"/>
      <c r="F3" s="560"/>
      <c r="G3" s="560"/>
    </row>
    <row r="4" spans="1:7" x14ac:dyDescent="0.25">
      <c r="F4" s="561" t="s">
        <v>56</v>
      </c>
      <c r="G4" s="561"/>
    </row>
    <row r="5" spans="1:7" ht="62.25" customHeight="1" x14ac:dyDescent="0.25">
      <c r="A5" s="2" t="s">
        <v>3</v>
      </c>
      <c r="B5" s="2" t="s">
        <v>265</v>
      </c>
      <c r="C5" s="2" t="s">
        <v>963</v>
      </c>
      <c r="D5" s="2" t="s">
        <v>266</v>
      </c>
      <c r="E5" s="2" t="s">
        <v>229</v>
      </c>
      <c r="F5" s="2" t="s">
        <v>267</v>
      </c>
      <c r="G5" s="2" t="s">
        <v>268</v>
      </c>
    </row>
    <row r="6" spans="1:7" x14ac:dyDescent="0.25">
      <c r="A6" s="2" t="s">
        <v>15</v>
      </c>
      <c r="B6" s="2" t="s">
        <v>16</v>
      </c>
      <c r="C6" s="2">
        <v>1</v>
      </c>
      <c r="D6" s="2">
        <v>2</v>
      </c>
      <c r="E6" s="2" t="s">
        <v>269</v>
      </c>
      <c r="F6" s="2">
        <v>4</v>
      </c>
      <c r="G6" s="2">
        <v>5</v>
      </c>
    </row>
    <row r="7" spans="1:7" x14ac:dyDescent="0.25">
      <c r="A7" s="3"/>
      <c r="B7" s="14" t="s">
        <v>270</v>
      </c>
      <c r="C7" s="57">
        <f>+C10+C24+C27+C30</f>
        <v>0</v>
      </c>
      <c r="D7" s="57">
        <f>+D10+D24+D27+D30</f>
        <v>0</v>
      </c>
      <c r="E7" s="57">
        <f>+E10+E24+E27+E30</f>
        <v>0</v>
      </c>
      <c r="F7" s="57">
        <f>+F10+F24+F27+F30</f>
        <v>0</v>
      </c>
      <c r="G7" s="57">
        <f>+G10+G24+G27+G30</f>
        <v>0</v>
      </c>
    </row>
    <row r="8" spans="1:7" x14ac:dyDescent="0.25">
      <c r="A8" s="3"/>
      <c r="B8" s="5" t="s">
        <v>271</v>
      </c>
      <c r="C8" s="3"/>
      <c r="D8" s="3"/>
      <c r="E8" s="3"/>
      <c r="F8" s="3"/>
      <c r="G8" s="3"/>
    </row>
    <row r="9" spans="1:7" x14ac:dyDescent="0.25">
      <c r="A9" s="3"/>
      <c r="B9" s="5" t="s">
        <v>272</v>
      </c>
      <c r="C9" s="3"/>
      <c r="D9" s="3"/>
      <c r="E9" s="3"/>
      <c r="F9" s="3"/>
      <c r="G9" s="3"/>
    </row>
    <row r="10" spans="1:7" x14ac:dyDescent="0.25">
      <c r="A10" s="2" t="s">
        <v>83</v>
      </c>
      <c r="B10" s="14" t="s">
        <v>65</v>
      </c>
      <c r="C10" s="57">
        <f>SUM(C14:C23)</f>
        <v>0</v>
      </c>
      <c r="D10" s="57">
        <f>SUM(D14:D23)</f>
        <v>0</v>
      </c>
      <c r="E10" s="57">
        <f>SUM(E14:E23)</f>
        <v>0</v>
      </c>
      <c r="F10" s="57">
        <f>SUM(F14:F23)</f>
        <v>0</v>
      </c>
      <c r="G10" s="57">
        <f>SUM(G14:G23)</f>
        <v>0</v>
      </c>
    </row>
    <row r="11" spans="1:7" x14ac:dyDescent="0.25">
      <c r="A11" s="3"/>
      <c r="B11" s="5" t="s">
        <v>273</v>
      </c>
      <c r="C11" s="3"/>
      <c r="D11" s="3"/>
      <c r="E11" s="3"/>
      <c r="F11" s="3"/>
      <c r="G11" s="3"/>
    </row>
    <row r="12" spans="1:7" x14ac:dyDescent="0.25">
      <c r="A12" s="3"/>
      <c r="B12" s="5" t="s">
        <v>274</v>
      </c>
      <c r="C12" s="3"/>
      <c r="D12" s="3"/>
      <c r="E12" s="3"/>
      <c r="F12" s="3"/>
      <c r="G12" s="3"/>
    </row>
    <row r="13" spans="1:7" x14ac:dyDescent="0.25">
      <c r="A13" s="3"/>
      <c r="B13" s="5" t="s">
        <v>134</v>
      </c>
      <c r="C13" s="3"/>
      <c r="D13" s="3"/>
      <c r="E13" s="3"/>
      <c r="F13" s="3"/>
      <c r="G13" s="3"/>
    </row>
    <row r="14" spans="1:7" ht="30" x14ac:dyDescent="0.25">
      <c r="A14" s="3">
        <v>1</v>
      </c>
      <c r="B14" s="4" t="s">
        <v>275</v>
      </c>
      <c r="C14" s="3"/>
      <c r="D14" s="3"/>
      <c r="E14" s="3"/>
      <c r="F14" s="3"/>
      <c r="G14" s="3"/>
    </row>
    <row r="15" spans="1:7" ht="30" x14ac:dyDescent="0.25">
      <c r="A15" s="3">
        <v>2</v>
      </c>
      <c r="B15" s="4" t="s">
        <v>276</v>
      </c>
      <c r="C15" s="3"/>
      <c r="D15" s="3"/>
      <c r="E15" s="3"/>
      <c r="F15" s="3"/>
      <c r="G15" s="3"/>
    </row>
    <row r="16" spans="1:7" ht="30" x14ac:dyDescent="0.25">
      <c r="A16" s="3">
        <v>3</v>
      </c>
      <c r="B16" s="4" t="s">
        <v>277</v>
      </c>
      <c r="C16" s="3"/>
      <c r="D16" s="3"/>
      <c r="E16" s="3"/>
      <c r="F16" s="3"/>
      <c r="G16" s="3"/>
    </row>
    <row r="17" spans="1:7" x14ac:dyDescent="0.25">
      <c r="A17" s="3">
        <v>4</v>
      </c>
      <c r="B17" s="4" t="s">
        <v>278</v>
      </c>
      <c r="C17" s="3"/>
      <c r="D17" s="3"/>
      <c r="E17" s="3"/>
      <c r="F17" s="3"/>
      <c r="G17" s="3"/>
    </row>
    <row r="18" spans="1:7" x14ac:dyDescent="0.25">
      <c r="A18" s="3">
        <v>5</v>
      </c>
      <c r="B18" s="4" t="s">
        <v>279</v>
      </c>
      <c r="C18" s="3"/>
      <c r="D18" s="3"/>
      <c r="E18" s="3"/>
      <c r="F18" s="3"/>
      <c r="G18" s="3"/>
    </row>
    <row r="19" spans="1:7" x14ac:dyDescent="0.25">
      <c r="A19" s="3">
        <v>6</v>
      </c>
      <c r="B19" s="4" t="s">
        <v>280</v>
      </c>
      <c r="C19" s="3"/>
      <c r="D19" s="3"/>
      <c r="E19" s="3"/>
      <c r="F19" s="3"/>
      <c r="G19" s="3"/>
    </row>
    <row r="20" spans="1:7" x14ac:dyDescent="0.25">
      <c r="A20" s="3">
        <v>7</v>
      </c>
      <c r="B20" s="4" t="s">
        <v>281</v>
      </c>
      <c r="C20" s="3"/>
      <c r="D20" s="3"/>
      <c r="E20" s="3"/>
      <c r="F20" s="3"/>
      <c r="G20" s="3"/>
    </row>
    <row r="21" spans="1:7" x14ac:dyDescent="0.25">
      <c r="A21" s="3">
        <v>8</v>
      </c>
      <c r="B21" s="4" t="s">
        <v>282</v>
      </c>
      <c r="C21" s="3"/>
      <c r="D21" s="3"/>
      <c r="E21" s="3"/>
      <c r="F21" s="3"/>
      <c r="G21" s="3"/>
    </row>
    <row r="22" spans="1:7" x14ac:dyDescent="0.25">
      <c r="A22" s="3">
        <v>9</v>
      </c>
      <c r="B22" s="4" t="s">
        <v>283</v>
      </c>
      <c r="C22" s="3"/>
      <c r="D22" s="3"/>
      <c r="E22" s="3"/>
      <c r="F22" s="3"/>
      <c r="G22" s="3"/>
    </row>
    <row r="23" spans="1:7" ht="30" x14ac:dyDescent="0.25">
      <c r="A23" s="3">
        <v>10</v>
      </c>
      <c r="B23" s="4" t="s">
        <v>284</v>
      </c>
      <c r="C23" s="3"/>
      <c r="D23" s="3"/>
      <c r="E23" s="3"/>
      <c r="F23" s="3"/>
      <c r="G23" s="3"/>
    </row>
    <row r="24" spans="1:7" x14ac:dyDescent="0.25">
      <c r="A24" s="2" t="s">
        <v>70</v>
      </c>
      <c r="B24" s="14" t="s">
        <v>285</v>
      </c>
      <c r="C24" s="3"/>
      <c r="D24" s="3"/>
      <c r="E24" s="3"/>
      <c r="F24" s="3"/>
      <c r="G24" s="3"/>
    </row>
    <row r="25" spans="1:7" x14ac:dyDescent="0.25">
      <c r="A25" s="3"/>
      <c r="B25" s="5" t="s">
        <v>273</v>
      </c>
      <c r="C25" s="3"/>
      <c r="D25" s="3"/>
      <c r="E25" s="3"/>
      <c r="F25" s="3"/>
      <c r="G25" s="3"/>
    </row>
    <row r="26" spans="1:7" x14ac:dyDescent="0.25">
      <c r="A26" s="3"/>
      <c r="B26" s="5" t="s">
        <v>274</v>
      </c>
      <c r="C26" s="3"/>
      <c r="D26" s="3"/>
      <c r="E26" s="3"/>
      <c r="F26" s="3"/>
      <c r="G26" s="3"/>
    </row>
    <row r="27" spans="1:7" x14ac:dyDescent="0.25">
      <c r="A27" s="2" t="s">
        <v>73</v>
      </c>
      <c r="B27" s="14" t="s">
        <v>286</v>
      </c>
      <c r="C27" s="3"/>
      <c r="D27" s="3"/>
      <c r="E27" s="3"/>
      <c r="F27" s="3"/>
      <c r="G27" s="3"/>
    </row>
    <row r="28" spans="1:7" x14ac:dyDescent="0.25">
      <c r="A28" s="3"/>
      <c r="B28" s="5" t="s">
        <v>273</v>
      </c>
      <c r="C28" s="3"/>
      <c r="D28" s="3"/>
      <c r="E28" s="3"/>
      <c r="F28" s="3"/>
      <c r="G28" s="3"/>
    </row>
    <row r="29" spans="1:7" x14ac:dyDescent="0.25">
      <c r="A29" s="3"/>
      <c r="B29" s="5" t="s">
        <v>274</v>
      </c>
      <c r="C29" s="3"/>
      <c r="D29" s="3"/>
      <c r="E29" s="3"/>
      <c r="F29" s="3"/>
      <c r="G29" s="3"/>
    </row>
    <row r="30" spans="1:7" x14ac:dyDescent="0.25">
      <c r="A30" s="2" t="s">
        <v>77</v>
      </c>
      <c r="B30" s="14" t="s">
        <v>287</v>
      </c>
      <c r="C30" s="3"/>
      <c r="D30" s="3"/>
      <c r="E30" s="3"/>
      <c r="F30" s="3"/>
      <c r="G30" s="3"/>
    </row>
    <row r="31" spans="1:7" x14ac:dyDescent="0.25">
      <c r="A31" s="3"/>
      <c r="B31" s="5" t="s">
        <v>273</v>
      </c>
      <c r="C31" s="3"/>
      <c r="D31" s="3"/>
      <c r="E31" s="3"/>
      <c r="F31" s="3"/>
      <c r="G31" s="3"/>
    </row>
    <row r="32" spans="1:7" x14ac:dyDescent="0.25">
      <c r="A32" s="3"/>
      <c r="B32" s="5" t="s">
        <v>274</v>
      </c>
      <c r="C32" s="3"/>
      <c r="D32" s="3"/>
      <c r="E32" s="3"/>
      <c r="F32" s="3"/>
      <c r="G32" s="3"/>
    </row>
    <row r="33" spans="1:7" ht="23.25" customHeight="1" x14ac:dyDescent="0.25">
      <c r="A33" s="15" t="s">
        <v>288</v>
      </c>
    </row>
    <row r="34" spans="1:7" ht="33.75" customHeight="1" x14ac:dyDescent="0.25">
      <c r="A34" s="562" t="s">
        <v>289</v>
      </c>
      <c r="B34" s="562"/>
      <c r="C34" s="562"/>
      <c r="D34" s="562"/>
      <c r="E34" s="562"/>
      <c r="F34" s="562"/>
      <c r="G34" s="562"/>
    </row>
    <row r="35" spans="1:7" ht="36.75" customHeight="1" x14ac:dyDescent="0.25">
      <c r="A35" s="562" t="s">
        <v>290</v>
      </c>
      <c r="B35" s="562"/>
      <c r="C35" s="562"/>
      <c r="D35" s="562"/>
      <c r="E35" s="562"/>
      <c r="F35" s="562"/>
      <c r="G35" s="562"/>
    </row>
    <row r="36" spans="1:7" ht="52.5" customHeight="1" x14ac:dyDescent="0.25">
      <c r="A36" s="562" t="s">
        <v>291</v>
      </c>
      <c r="B36" s="562"/>
      <c r="C36" s="562"/>
      <c r="D36" s="562"/>
      <c r="E36" s="562"/>
      <c r="F36" s="562"/>
      <c r="G36" s="562"/>
    </row>
    <row r="37" spans="1:7" ht="47.25" customHeight="1" x14ac:dyDescent="0.25">
      <c r="A37" s="562" t="s">
        <v>292</v>
      </c>
      <c r="B37" s="562"/>
      <c r="C37" s="562"/>
      <c r="D37" s="562"/>
      <c r="E37" s="562"/>
      <c r="F37" s="562"/>
      <c r="G37" s="562"/>
    </row>
    <row r="38" spans="1:7" ht="27.75" customHeight="1" x14ac:dyDescent="0.25">
      <c r="A38" s="562" t="s">
        <v>293</v>
      </c>
      <c r="B38" s="562"/>
      <c r="C38" s="562"/>
      <c r="D38" s="562"/>
      <c r="E38" s="562"/>
      <c r="F38" s="562"/>
      <c r="G38" s="562"/>
    </row>
  </sheetData>
  <mergeCells count="9">
    <mergeCell ref="A36:G36"/>
    <mergeCell ref="A37:G37"/>
    <mergeCell ref="A38:G38"/>
    <mergeCell ref="A1:G1"/>
    <mergeCell ref="A2:G2"/>
    <mergeCell ref="A3:G3"/>
    <mergeCell ref="F4:G4"/>
    <mergeCell ref="A34:G34"/>
    <mergeCell ref="A35:G35"/>
  </mergeCells>
  <pageMargins left="0.70866141732283472" right="0.35433070866141736" top="0.6"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70</vt:i4>
      </vt:variant>
      <vt:variant>
        <vt:lpstr>Named Ranges</vt:lpstr>
      </vt:variant>
      <vt:variant>
        <vt:i4>149</vt:i4>
      </vt:variant>
    </vt:vector>
  </HeadingPairs>
  <TitlesOfParts>
    <vt:vector size="219" baseType="lpstr">
      <vt:lpstr>PL tong hop</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 (Khong)</vt:lpstr>
      <vt:lpstr>ĐGCĐ THU, CHI MAU 19</vt:lpstr>
      <vt:lpstr>DANH GIA TH THU NSNN 20</vt:lpstr>
      <vt:lpstr>D. GIA TH THU NSNN THEO L.V 21</vt:lpstr>
      <vt:lpstr>22</vt:lpstr>
      <vt:lpstr>23</vt:lpstr>
      <vt:lpstr>24</vt:lpstr>
      <vt:lpstr>25</vt:lpstr>
      <vt:lpstr>26</vt:lpstr>
      <vt:lpstr>27</vt:lpstr>
      <vt:lpstr>28</vt:lpstr>
      <vt:lpstr>29</vt:lpstr>
      <vt:lpstr>CĐDT THU, CHI MAU 30</vt:lpstr>
      <vt:lpstr>31</vt:lpstr>
      <vt:lpstr>DT THU NSNN MAU 32</vt:lpstr>
      <vt:lpstr>DT CHI NS HUYEN, XA 33</vt:lpstr>
      <vt:lpstr>TONG HOP SO 30</vt:lpstr>
      <vt:lpstr>34 (Khong)</vt:lpstr>
      <vt:lpstr>CHI NS HUYEN 35</vt:lpstr>
      <vt:lpstr>36 (KHONG)</vt:lpstr>
      <vt:lpstr>DT CHI TX NSH TUNG CQ 37</vt:lpstr>
      <vt:lpstr>DT CTMTQG 38</vt:lpstr>
      <vt:lpstr>SNGD</vt:lpstr>
      <vt:lpstr>DT THU, CHI NSDP VA BSCĐ 39</vt:lpstr>
      <vt:lpstr>40 n(Khong)</vt:lpstr>
      <vt:lpstr>DT CHI NS XA 41</vt:lpstr>
      <vt:lpstr>42(KHONG)</vt:lpstr>
      <vt:lpstr>43 (KHONG)</vt:lpstr>
      <vt:lpstr>44 (KHONG)</vt:lpstr>
      <vt:lpstr>45 (KHÔNG)</vt:lpstr>
      <vt:lpstr>DTXDCB NSDP</vt:lpstr>
      <vt:lpstr>XBCD NSTW</vt:lpstr>
      <vt:lpstr>XDCB NTM</vt:lpstr>
      <vt:lpstr>47 (KHONG)</vt:lpstr>
      <vt:lpstr>DIEU CHINH DAU TU CONG 16-20</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'PL tong hop'!chuong_phuluc_1_name</vt:lpstr>
      <vt:lpstr>'10'!chuong_phuluc_10</vt:lpstr>
      <vt:lpstr>'10'!chuong_phuluc_10_name</vt:lpstr>
      <vt:lpstr>'11'!chuong_phuluc_11</vt:lpstr>
      <vt:lpstr>'11'!chuong_phuluc_11_name</vt:lpstr>
      <vt:lpstr>'12'!chuong_phuluc_12</vt:lpstr>
      <vt:lpstr>'12'!chuong_phuluc_12_name</vt:lpstr>
      <vt:lpstr>'13'!chuong_phuluc_13</vt:lpstr>
      <vt:lpstr>'13'!chuong_phuluc_13_name</vt:lpstr>
      <vt:lpstr>'14'!chuong_phuluc_14</vt:lpstr>
      <vt:lpstr>'14'!chuong_phuluc_14_name</vt:lpstr>
      <vt:lpstr>'15'!chuong_phuluc_15</vt:lpstr>
      <vt:lpstr>'15'!chuong_phuluc_15_name</vt:lpstr>
      <vt:lpstr>'16'!chuong_phuluc_16</vt:lpstr>
      <vt:lpstr>'16'!chuong_phuluc_16_name</vt:lpstr>
      <vt:lpstr>'17'!chuong_phuluc_17</vt:lpstr>
      <vt:lpstr>'17'!chuong_phuluc_17_name</vt:lpstr>
      <vt:lpstr>'18 (Khong)'!chuong_phuluc_18</vt:lpstr>
      <vt:lpstr>'18 (Khong)'!chuong_phuluc_18_name</vt:lpstr>
      <vt:lpstr>'ĐGCĐ THU, CHI MAU 19'!chuong_phuluc_19</vt:lpstr>
      <vt:lpstr>'ĐGCĐ THU, CHI MAU 19'!chuong_phuluc_19_name</vt:lpstr>
      <vt:lpstr>'01'!chuong_phuluc_2</vt:lpstr>
      <vt:lpstr>'02'!chuong_phuluc_2_1</vt:lpstr>
      <vt:lpstr>'02'!chuong_phuluc_2_1_name</vt:lpstr>
      <vt:lpstr>'01'!chuong_phuluc_2_name</vt:lpstr>
      <vt:lpstr>'DANH GIA TH THU NSNN 20'!chuong_phuluc_20</vt:lpstr>
      <vt:lpstr>'DANH GIA TH THU NSNN 20'!chuong_phuluc_20_name</vt:lpstr>
      <vt:lpstr>'D. GIA TH THU NSNN THEO L.V 21'!chuong_phuluc_21</vt:lpstr>
      <vt:lpstr>'D. GIA TH THU NSNN THEO L.V 21'!chuong_phuluc_21_name</vt:lpstr>
      <vt:lpstr>'22'!chuong_phuluc_22</vt:lpstr>
      <vt:lpstr>'22'!chuong_phuluc_22_name</vt:lpstr>
      <vt:lpstr>'23'!chuong_phuluc_23</vt:lpstr>
      <vt:lpstr>'23'!chuong_phuluc_23_name</vt:lpstr>
      <vt:lpstr>'24'!chuong_phuluc_24</vt:lpstr>
      <vt:lpstr>'24'!chuong_phuluc_24_name</vt:lpstr>
      <vt:lpstr>'25'!chuong_phuluc_25</vt:lpstr>
      <vt:lpstr>'25'!chuong_phuluc_25_name</vt:lpstr>
      <vt:lpstr>'26'!chuong_phuluc_26</vt:lpstr>
      <vt:lpstr>'26'!chuong_phuluc_26_name</vt:lpstr>
      <vt:lpstr>'27'!chuong_phuluc_27</vt:lpstr>
      <vt:lpstr>'27'!chuong_phuluc_27_name</vt:lpstr>
      <vt:lpstr>'28'!chuong_phuluc_28</vt:lpstr>
      <vt:lpstr>'28'!chuong_phuluc_28_name</vt:lpstr>
      <vt:lpstr>'29'!chuong_phuluc_29</vt:lpstr>
      <vt:lpstr>'29'!chuong_phuluc_29_name</vt:lpstr>
      <vt:lpstr>'03'!chuong_phuluc_3</vt:lpstr>
      <vt:lpstr>'03'!chuong_phuluc_3_name</vt:lpstr>
      <vt:lpstr>'CĐDT THU, CHI MAU 30'!chuong_phuluc_30</vt:lpstr>
      <vt:lpstr>'CĐDT THU, CHI MAU 30'!chuong_phuluc_30_name</vt:lpstr>
      <vt:lpstr>'31'!chuong_phuluc_31</vt:lpstr>
      <vt:lpstr>'31'!chuong_phuluc_31_name</vt:lpstr>
      <vt:lpstr>'DT THU NSNN MAU 32'!chuong_phuluc_32</vt:lpstr>
      <vt:lpstr>'DT THU NSNN MAU 32'!chuong_phuluc_32_name</vt:lpstr>
      <vt:lpstr>'DT CHI NS HUYEN, XA 33'!chuong_phuluc_33</vt:lpstr>
      <vt:lpstr>'DT CHI NS HUYEN, XA 33'!chuong_phuluc_33_name</vt:lpstr>
      <vt:lpstr>'34 (Khong)'!chuong_phuluc_34_name</vt:lpstr>
      <vt:lpstr>'CHI NS HUYEN 35'!chuong_phuluc_35</vt:lpstr>
      <vt:lpstr>'CHI NS HUYEN 35'!chuong_phuluc_35_name</vt:lpstr>
      <vt:lpstr>'36 (KHONG)'!chuong_phuluc_36</vt:lpstr>
      <vt:lpstr>'36 (KHONG)'!chuong_phuluc_36_name</vt:lpstr>
      <vt:lpstr>'DT CHI TX NSH TUNG CQ 37'!chuong_phuluc_37</vt:lpstr>
      <vt:lpstr>'DT CHI TX NSH TUNG CQ 37'!chuong_phuluc_37_name</vt:lpstr>
      <vt:lpstr>'DT CTMTQG 38'!chuong_phuluc_38</vt:lpstr>
      <vt:lpstr>'DT CTMTQG 38'!chuong_phuluc_38_name</vt:lpstr>
      <vt:lpstr>'DT THU, CHI NSDP VA BSCĐ 39'!chuong_phuluc_39</vt:lpstr>
      <vt:lpstr>'DT THU, CHI NSDP VA BSCĐ 39'!chuong_phuluc_39_name</vt:lpstr>
      <vt:lpstr>'04'!chuong_phuluc_4</vt:lpstr>
      <vt:lpstr>'04'!chuong_phuluc_4_name</vt:lpstr>
      <vt:lpstr>'40 n(Khong)'!chuong_phuluc_40</vt:lpstr>
      <vt:lpstr>'40 n(Khong)'!chuong_phuluc_40_name</vt:lpstr>
      <vt:lpstr>'42(KHONG)'!chuong_phuluc_42</vt:lpstr>
      <vt:lpstr>'42(KHONG)'!chuong_phuluc_42_name</vt:lpstr>
      <vt:lpstr>'43 (KHONG)'!chuong_phuluc_43</vt:lpstr>
      <vt:lpstr>'43 (KHONG)'!chuong_phuluc_43_name</vt:lpstr>
      <vt:lpstr>'44 (KHONG)'!chuong_phuluc_44</vt:lpstr>
      <vt:lpstr>'44 (KHONG)'!chuong_phuluc_44_name</vt:lpstr>
      <vt:lpstr>'44 (KHONG)'!chuong_phuluc_44_name_name</vt:lpstr>
      <vt:lpstr>'45 (KHÔNG)'!chuong_phuluc_45</vt:lpstr>
      <vt:lpstr>'45 (KHÔNG)'!chuong_phuluc_45_name</vt:lpstr>
      <vt:lpstr>'DTXDCB NSDP'!chuong_phuluc_46</vt:lpstr>
      <vt:lpstr>'DTXDCB NSDP'!chuong_phuluc_46_name</vt:lpstr>
      <vt:lpstr>'47 (KHONG)'!chuong_phuluc_47</vt:lpstr>
      <vt:lpstr>'47 (KHONG)'!chuong_phuluc_47_name</vt:lpstr>
      <vt:lpstr>'47 (KHONG)'!chuong_phuluc_47_name_name</vt:lpstr>
      <vt:lpstr>'48'!chuong_phuluc_48</vt:lpstr>
      <vt:lpstr>'48'!chuong_phuluc_48_name</vt:lpstr>
      <vt:lpstr>'49'!chuong_phuluc_49</vt:lpstr>
      <vt:lpstr>'49'!chuong_phuluc_49_name</vt:lpstr>
      <vt:lpstr>'05'!chuong_phuluc_5</vt:lpstr>
      <vt:lpstr>'05'!chuong_phuluc_5_name</vt:lpstr>
      <vt:lpstr>'50'!chuong_phuluc_50</vt:lpstr>
      <vt:lpstr>'50'!chuong_phuluc_50_name</vt:lpstr>
      <vt:lpstr>'51'!chuong_phuluc_51</vt:lpstr>
      <vt:lpstr>'51'!chuong_phuluc_51_name</vt:lpstr>
      <vt:lpstr>'52'!chuong_phuluc_52</vt:lpstr>
      <vt:lpstr>'52'!chuong_phuluc_52_name</vt:lpstr>
      <vt:lpstr>'53'!chuong_phuluc_53</vt:lpstr>
      <vt:lpstr>'53'!chuong_phuluc_53_name</vt:lpstr>
      <vt:lpstr>'54'!chuong_phuluc_54</vt:lpstr>
      <vt:lpstr>'54'!chuong_phuluc_54_name</vt:lpstr>
      <vt:lpstr>'55'!chuong_phuluc_55</vt:lpstr>
      <vt:lpstr>'55'!chuong_phuluc_55_name</vt:lpstr>
      <vt:lpstr>'56'!chuong_phuluc_56</vt:lpstr>
      <vt:lpstr>'56'!chuong_phuluc_56_name</vt:lpstr>
      <vt:lpstr>'57'!chuong_phuluc_57</vt:lpstr>
      <vt:lpstr>'57'!chuong_phuluc_57_name</vt:lpstr>
      <vt:lpstr>'58'!chuong_phuluc_58</vt:lpstr>
      <vt:lpstr>'58'!chuong_phuluc_58_name</vt:lpstr>
      <vt:lpstr>'59'!chuong_phuluc_59_name</vt:lpstr>
      <vt:lpstr>'06'!chuong_phuluc_6</vt:lpstr>
      <vt:lpstr>'06'!chuong_phuluc_6_name</vt:lpstr>
      <vt:lpstr>'60'!chuong_phuluc_60</vt:lpstr>
      <vt:lpstr>'60'!chuong_phuluc_60_name</vt:lpstr>
      <vt:lpstr>'61'!chuong_phuluc_61</vt:lpstr>
      <vt:lpstr>'61'!chuong_phuluc_61_name</vt:lpstr>
      <vt:lpstr>'62'!chuong_phuluc_62_name</vt:lpstr>
      <vt:lpstr>'63'!chuong_phuluc_63</vt:lpstr>
      <vt:lpstr>'63'!chuong_phuluc_63_name</vt:lpstr>
      <vt:lpstr>'64'!chuong_phuluc_64</vt:lpstr>
      <vt:lpstr>'64'!chuong_phuluc_64_name</vt:lpstr>
      <vt:lpstr>'07'!chuong_phuluc_7</vt:lpstr>
      <vt:lpstr>'07'!chuong_phuluc_7_name</vt:lpstr>
      <vt:lpstr>'08'!chuong_phuluc_8</vt:lpstr>
      <vt:lpstr>'08'!chuong_phuluc_8_name</vt:lpstr>
      <vt:lpstr>'09'!chuong_phuluc_9</vt:lpstr>
      <vt:lpstr>'09'!chuong_phuluc_9_name</vt:lpstr>
      <vt:lpstr>'12'!Print_Area</vt:lpstr>
      <vt:lpstr>'13'!Print_Area</vt:lpstr>
      <vt:lpstr>'14'!Print_Area</vt:lpstr>
      <vt:lpstr>'15'!Print_Area</vt:lpstr>
      <vt:lpstr>'16'!Print_Area</vt:lpstr>
      <vt:lpstr>'CHI NS HUYEN 35'!Print_Area</vt:lpstr>
      <vt:lpstr>'D. GIA TH THU NSNN THEO L.V 21'!Print_Area</vt:lpstr>
      <vt:lpstr>'DANH GIA TH THU NSNN 20'!Print_Area</vt:lpstr>
      <vt:lpstr>'DT CHI NS HUYEN, XA 33'!Print_Area</vt:lpstr>
      <vt:lpstr>'DT CHI NS XA 41'!Print_Area</vt:lpstr>
      <vt:lpstr>'DT CHI TX NSH TUNG CQ 37'!Print_Area</vt:lpstr>
      <vt:lpstr>'DT CTMTQG 38'!Print_Area</vt:lpstr>
      <vt:lpstr>'DT THU NSNN MAU 32'!Print_Area</vt:lpstr>
      <vt:lpstr>'DT THU, CHI NSDP VA BSCĐ 39'!Print_Area</vt:lpstr>
      <vt:lpstr>'DTXDCB NSDP'!Print_Area</vt:lpstr>
      <vt:lpstr>'TONG HOP SO 30'!Print_Area</vt:lpstr>
      <vt:lpstr>'CHI NS HUYEN 35'!Print_Titles</vt:lpstr>
      <vt:lpstr>'DT CHI NS XA 41'!Print_Titles</vt:lpstr>
      <vt:lpstr>'DT CHI TX NSH TUNG CQ 37'!Print_Titles</vt:lpstr>
      <vt:lpstr>'DTXDCB NSDP'!Print_Titles</vt:lpstr>
      <vt:lpstr>SNGD!Print_Titles</vt:lpstr>
      <vt:lpstr>'TONG HOP SO 30'!Print_Titles</vt:lpstr>
      <vt:lpstr>'XDCB NTM'!Print_Titles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andongnhi</cp:lastModifiedBy>
  <cp:lastPrinted>2024-12-01T05:57:58Z</cp:lastPrinted>
  <dcterms:created xsi:type="dcterms:W3CDTF">2017-04-26T02:19:00Z</dcterms:created>
  <dcterms:modified xsi:type="dcterms:W3CDTF">2024-12-01T05:59:14Z</dcterms:modified>
</cp:coreProperties>
</file>